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drawings/drawing4.xml" ContentType="application/vnd.openxmlformats-officedocument.drawing+xml"/>
  <Override PartName="/xl/embeddings/oleObject2.bin" ContentType="application/vnd.openxmlformats-officedocument.oleObject"/>
  <Override PartName="/xl/drawings/drawing5.xml" ContentType="application/vnd.openxmlformats-officedocument.drawing+xml"/>
  <Override PartName="/xl/embeddings/oleObject3.bin" ContentType="application/vnd.openxmlformats-officedocument.oleObject"/>
  <Override PartName="/xl/drawings/drawing6.xml" ContentType="application/vnd.openxmlformats-officedocument.drawing+xml"/>
  <Override PartName="/xl/embeddings/oleObject4.bin" ContentType="application/vnd.openxmlformats-officedocument.oleObject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citação prefeitura\2026\PAVIMENTAÇÃO AV UBS\DOC. PARA LICITAÇÃO PAV. AV. JK\"/>
    </mc:Choice>
  </mc:AlternateContent>
  <bookViews>
    <workbookView minimized="1" xWindow="-105" yWindow="-105" windowWidth="23250" windowHeight="12450" firstSheet="2" activeTab="3"/>
  </bookViews>
  <sheets>
    <sheet name="Croqui de Localização" sheetId="11" r:id="rId1"/>
    <sheet name="DMT USINA" sheetId="15" r:id="rId2"/>
    <sheet name="Demonstrativo do BDI" sheetId="10" r:id="rId3"/>
    <sheet name="Planilha Orçamentária" sheetId="5" r:id="rId4"/>
    <sheet name="Memória de Cálculo" sheetId="9" r:id="rId5"/>
    <sheet name="Cronograma Físico Financeiro" sheetId="8" r:id="rId6"/>
    <sheet name="DMT BOTA FORA" sheetId="14" r:id="rId7"/>
    <sheet name="DMT JAZIDA" sheetId="13" r:id="rId8"/>
    <sheet name="DMT REFINARIA" sheetId="12" r:id="rId9"/>
  </sheets>
  <definedNames>
    <definedName name="AccessDatabase" hidden="1">"D:\Arquivos do excel\Planilha modelo1.mdb"</definedName>
    <definedName name="af">#REF!</definedName>
    <definedName name="ag">#REF!</definedName>
    <definedName name="_xlnm.Print_Area" localSheetId="5">'Cronograma Físico Financeiro'!$A$1:$I$33</definedName>
    <definedName name="_xlnm.Print_Area" localSheetId="0">'Croqui de Localização'!$B$2:$O$48</definedName>
    <definedName name="_xlnm.Print_Area" localSheetId="2">'Demonstrativo do BDI'!$A$1:$J$52</definedName>
    <definedName name="_xlnm.Print_Area" localSheetId="4">'Memória de Cálculo'!$A$1:$I$48</definedName>
    <definedName name="_xlnm.Print_Area" localSheetId="3">'Planilha Orçamentária'!$A$1:$I$57</definedName>
    <definedName name="BALTO">#REF!</definedName>
    <definedName name="ce">#REF!</definedName>
    <definedName name="cho">#REF!</definedName>
    <definedName name="ci">#REF!</definedName>
    <definedName name="dfdfsdf">#REF!</definedName>
    <definedName name="ERERERERERE">#REF!</definedName>
    <definedName name="EWEWEWE">#REF!</definedName>
    <definedName name="EWWEW">#REF!</definedName>
    <definedName name="jazida5">#REF!</definedName>
    <definedName name="jazida6">#REF!</definedName>
    <definedName name="ls">#REF!</definedName>
    <definedName name="lub">#REF!</definedName>
    <definedName name="meio">#REF!</definedName>
    <definedName name="od">#REF!</definedName>
    <definedName name="of">#REF!</definedName>
    <definedName name="Payment_Needed">"Pagamento necessário"</definedName>
    <definedName name="pdm">#REF!</definedName>
    <definedName name="pedra">#REF!</definedName>
    <definedName name="port">#REF!</definedName>
    <definedName name="PREF">#REF!</definedName>
    <definedName name="Reimbursement">"Reembolso"</definedName>
    <definedName name="ruas">#REF!</definedName>
    <definedName name="ruas3">#REF!</definedName>
    <definedName name="s">#REF!</definedName>
    <definedName name="se">#REF!</definedName>
    <definedName name="sx">#REF!</definedName>
    <definedName name="tb100cm">#REF!</definedName>
    <definedName name="total">#REF!</definedName>
    <definedName name="WEQEWEWE">#REF!</definedName>
    <definedName name="WEWEW">#REF!</definedName>
    <definedName name="WEWEW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9" l="1"/>
  <c r="F26" i="9"/>
  <c r="F24" i="9"/>
  <c r="F27" i="9" s="1"/>
  <c r="F28" i="9" s="1"/>
  <c r="F23" i="9"/>
  <c r="F22" i="9"/>
  <c r="F21" i="9"/>
  <c r="F16" i="9"/>
  <c r="F17" i="9" s="1"/>
  <c r="F25" i="9" l="1"/>
  <c r="D42" i="9"/>
  <c r="F30" i="5" l="1"/>
  <c r="F24" i="5"/>
  <c r="F20" i="9"/>
  <c r="F13" i="5"/>
  <c r="F14" i="5"/>
  <c r="F15" i="5"/>
  <c r="F25" i="5"/>
  <c r="G27" i="5"/>
  <c r="B23" i="9"/>
  <c r="C23" i="9"/>
  <c r="D23" i="9"/>
  <c r="E23" i="9"/>
  <c r="A23" i="9"/>
  <c r="A24" i="9"/>
  <c r="A25" i="9"/>
  <c r="A26" i="9"/>
  <c r="A27" i="9"/>
  <c r="A28" i="9"/>
  <c r="A29" i="9"/>
  <c r="H24" i="5"/>
  <c r="O47" i="11"/>
  <c r="F23" i="5" l="1"/>
  <c r="F21" i="5"/>
  <c r="I24" i="5"/>
  <c r="N9" i="9"/>
  <c r="C28" i="9"/>
  <c r="D28" i="9"/>
  <c r="E28" i="9"/>
  <c r="C29" i="9"/>
  <c r="D29" i="9"/>
  <c r="E29" i="9"/>
  <c r="H30" i="5"/>
  <c r="I30" i="5"/>
  <c r="A17" i="9"/>
  <c r="A18" i="9"/>
  <c r="A19" i="9"/>
  <c r="A20" i="9"/>
  <c r="A21" i="9"/>
  <c r="A22" i="9"/>
  <c r="D17" i="9"/>
  <c r="A14" i="9"/>
  <c r="B14" i="9"/>
  <c r="C14" i="9"/>
  <c r="D14" i="9"/>
  <c r="E14" i="9"/>
  <c r="H15" i="5"/>
  <c r="H13" i="5"/>
  <c r="E12" i="9"/>
  <c r="A12" i="9"/>
  <c r="B12" i="9"/>
  <c r="C12" i="9"/>
  <c r="D12" i="9"/>
  <c r="A31" i="9"/>
  <c r="B31" i="9"/>
  <c r="C31" i="9"/>
  <c r="D31" i="9"/>
  <c r="E31" i="9"/>
  <c r="H32" i="5"/>
  <c r="C48" i="9"/>
  <c r="C47" i="9"/>
  <c r="C40" i="9"/>
  <c r="C39" i="9"/>
  <c r="F18" i="5"/>
  <c r="H34" i="5"/>
  <c r="E36" i="9"/>
  <c r="A33" i="9"/>
  <c r="B33" i="9"/>
  <c r="C33" i="9"/>
  <c r="D33" i="9"/>
  <c r="E33" i="9"/>
  <c r="A34" i="9"/>
  <c r="B34" i="9"/>
  <c r="C34" i="9"/>
  <c r="D34" i="9"/>
  <c r="E34" i="9"/>
  <c r="A35" i="9"/>
  <c r="B35" i="9"/>
  <c r="C35" i="9"/>
  <c r="D35" i="9"/>
  <c r="E35" i="9"/>
  <c r="A36" i="9"/>
  <c r="B36" i="9"/>
  <c r="C36" i="9"/>
  <c r="D36" i="9"/>
  <c r="F28" i="5" l="1"/>
  <c r="I15" i="5"/>
  <c r="I13" i="5"/>
  <c r="I32" i="5"/>
  <c r="I34" i="5"/>
  <c r="H37" i="5"/>
  <c r="H36" i="5"/>
  <c r="I36" i="5" s="1"/>
  <c r="H35" i="5"/>
  <c r="I35" i="5" s="1"/>
  <c r="H20" i="5" l="1"/>
  <c r="B19" i="9"/>
  <c r="C19" i="9"/>
  <c r="D19" i="9"/>
  <c r="E19" i="9"/>
  <c r="F36" i="9" l="1"/>
  <c r="I37" i="5" s="1"/>
  <c r="F22" i="5" l="1"/>
  <c r="E20" i="9"/>
  <c r="D20" i="9"/>
  <c r="C20" i="9"/>
  <c r="B20" i="9"/>
  <c r="H21" i="5"/>
  <c r="I21" i="5" l="1"/>
  <c r="F26" i="5"/>
  <c r="F27" i="5"/>
  <c r="F29" i="5"/>
  <c r="C12" i="8" l="1"/>
  <c r="C8" i="8"/>
  <c r="A30" i="9"/>
  <c r="H12" i="5"/>
  <c r="H17" i="5"/>
  <c r="H18" i="5"/>
  <c r="H23" i="5"/>
  <c r="H25" i="5"/>
  <c r="A13" i="9"/>
  <c r="B13" i="9"/>
  <c r="C13" i="9"/>
  <c r="D13" i="9"/>
  <c r="E13" i="9"/>
  <c r="D30" i="9"/>
  <c r="B27" i="9"/>
  <c r="C27" i="9"/>
  <c r="D27" i="9"/>
  <c r="E27" i="9"/>
  <c r="B26" i="9"/>
  <c r="C26" i="9"/>
  <c r="D26" i="9"/>
  <c r="E26" i="9"/>
  <c r="B25" i="9"/>
  <c r="C25" i="9"/>
  <c r="D25" i="9"/>
  <c r="E25" i="9"/>
  <c r="B24" i="9"/>
  <c r="C24" i="9"/>
  <c r="D24" i="9"/>
  <c r="E24" i="9"/>
  <c r="B17" i="9"/>
  <c r="C17" i="9"/>
  <c r="E17" i="9"/>
  <c r="B18" i="9"/>
  <c r="C18" i="9"/>
  <c r="D18" i="9"/>
  <c r="E18" i="9"/>
  <c r="B21" i="9"/>
  <c r="C21" i="9"/>
  <c r="D21" i="9"/>
  <c r="E21" i="9"/>
  <c r="B22" i="9"/>
  <c r="C22" i="9"/>
  <c r="D22" i="9"/>
  <c r="E22" i="9"/>
  <c r="F17" i="5" l="1"/>
  <c r="I23" i="5"/>
  <c r="I18" i="5" l="1"/>
  <c r="F18" i="9"/>
  <c r="F19" i="9" s="1"/>
  <c r="A4" i="8"/>
  <c r="F20" i="5" l="1"/>
  <c r="I20" i="5" s="1"/>
  <c r="F19" i="5"/>
  <c r="H33" i="5"/>
  <c r="A3" i="8" l="1"/>
  <c r="E32" i="9"/>
  <c r="D32" i="9"/>
  <c r="C32" i="9"/>
  <c r="B32" i="9"/>
  <c r="A32" i="9"/>
  <c r="I7" i="9"/>
  <c r="I33" i="5" l="1"/>
  <c r="I31" i="5" s="1"/>
  <c r="E13" i="8" l="1"/>
  <c r="D15" i="9"/>
  <c r="A15" i="9"/>
  <c r="D10" i="9"/>
  <c r="A10" i="9"/>
  <c r="E16" i="9"/>
  <c r="D16" i="9"/>
  <c r="C16" i="9"/>
  <c r="B16" i="9"/>
  <c r="A16" i="9"/>
  <c r="B11" i="9"/>
  <c r="C11" i="9"/>
  <c r="D11" i="9"/>
  <c r="E11" i="9"/>
  <c r="A11" i="9"/>
  <c r="A5" i="9"/>
  <c r="A6" i="9"/>
  <c r="A7" i="9"/>
  <c r="A4" i="9"/>
  <c r="I13" i="8" l="1"/>
  <c r="F13" i="8"/>
  <c r="G13" i="8"/>
  <c r="H13" i="8"/>
  <c r="I17" i="5"/>
  <c r="F12" i="5"/>
  <c r="I4" i="9"/>
  <c r="H28" i="5"/>
  <c r="H26" i="5"/>
  <c r="H29" i="5"/>
  <c r="H27" i="5"/>
  <c r="I4" i="5"/>
  <c r="I12" i="5" l="1"/>
  <c r="I28" i="5"/>
  <c r="I26" i="5"/>
  <c r="I25" i="5"/>
  <c r="I27" i="5"/>
  <c r="I29" i="5"/>
  <c r="I16" i="5" l="1"/>
  <c r="C6" i="8"/>
  <c r="I3" i="8"/>
  <c r="I14" i="5" l="1"/>
  <c r="I11" i="5" s="1"/>
  <c r="I38" i="5" s="1"/>
  <c r="E9" i="8"/>
  <c r="H9" i="8" s="1"/>
  <c r="E7" i="8" l="1"/>
  <c r="H7" i="8" s="1"/>
  <c r="H15" i="8" s="1"/>
  <c r="H11" i="5"/>
  <c r="F3" i="8" l="1"/>
  <c r="E15" i="8"/>
  <c r="E6" i="8" s="1"/>
  <c r="G9" i="8"/>
  <c r="F9" i="8"/>
  <c r="I9" i="8"/>
  <c r="F7" i="8"/>
  <c r="I7" i="8"/>
  <c r="G7" i="8"/>
  <c r="H14" i="8" l="1"/>
  <c r="E12" i="8"/>
  <c r="F15" i="8"/>
  <c r="I15" i="8"/>
  <c r="G15" i="8"/>
  <c r="G14" i="8" s="1"/>
  <c r="E8" i="8"/>
  <c r="E14" i="8"/>
  <c r="I14" i="8" l="1"/>
  <c r="K15" i="8"/>
  <c r="F14" i="8"/>
</calcChain>
</file>

<file path=xl/sharedStrings.xml><?xml version="1.0" encoding="utf-8"?>
<sst xmlns="http://schemas.openxmlformats.org/spreadsheetml/2006/main" count="336" uniqueCount="232">
  <si>
    <t>ITEM</t>
  </si>
  <si>
    <t>DESCRIÇÃO</t>
  </si>
  <si>
    <t>QUANTIDADE</t>
  </si>
  <si>
    <t>UNIDADE</t>
  </si>
  <si>
    <t>PLANILHA ORÇAMENTÁRIA DE CUSTOS</t>
  </si>
  <si>
    <t>CÓDIGO</t>
  </si>
  <si>
    <t>DIRETA</t>
  </si>
  <si>
    <t>INDIRETA</t>
  </si>
  <si>
    <t>(    )</t>
  </si>
  <si>
    <t>PREÇO TOTAL</t>
  </si>
  <si>
    <t xml:space="preserve">FORMA DE EXECUÇÃO: </t>
  </si>
  <si>
    <t>2.1</t>
  </si>
  <si>
    <t>2.2</t>
  </si>
  <si>
    <t>2.3</t>
  </si>
  <si>
    <t>2.4</t>
  </si>
  <si>
    <t>TOTAL GERAL DA OBRA</t>
  </si>
  <si>
    <t>(  X  )</t>
  </si>
  <si>
    <t>FOLHA Nº: 01/01</t>
  </si>
  <si>
    <t>SERVIÇOS PRELIMINARES</t>
  </si>
  <si>
    <t>MEMÓRIA DE CÁLCULO</t>
  </si>
  <si>
    <t>ED-28427</t>
  </si>
  <si>
    <t>SICRO/DNIT</t>
  </si>
  <si>
    <t>Financeiro</t>
  </si>
  <si>
    <t>Físico %</t>
  </si>
  <si>
    <t>TOTAL</t>
  </si>
  <si>
    <t>MÊS 3</t>
  </si>
  <si>
    <t>MÊS 2</t>
  </si>
  <si>
    <t>MÊS 1</t>
  </si>
  <si>
    <t>TOTAL  ETAPAS</t>
  </si>
  <si>
    <t>FÍSICO/ FINANCEIRO</t>
  </si>
  <si>
    <t>ETAPAS/DESCRIÇÃO</t>
  </si>
  <si>
    <t xml:space="preserve">VALOR DO CONVÊNIO: </t>
  </si>
  <si>
    <t>CRONOGRAMA FÍSICO-FINANCEIRO</t>
  </si>
  <si>
    <t>DATA:</t>
  </si>
  <si>
    <t xml:space="preserve">BDI </t>
  </si>
  <si>
    <t>BDI DIFERENCIADO
 (MATERIAL):</t>
  </si>
  <si>
    <t>% ISS MUNICIPAL:</t>
  </si>
  <si>
    <t>PREÇO UNITÁRIO 
S/ LDI</t>
  </si>
  <si>
    <t>PREÇO UNITÁRIO 
C/ LDI</t>
  </si>
  <si>
    <t>TxKM</t>
  </si>
  <si>
    <t>SICOR/
SEINFRA</t>
  </si>
  <si>
    <t>ED-7623</t>
  </si>
  <si>
    <t>M3</t>
  </si>
  <si>
    <t>M2</t>
  </si>
  <si>
    <t>DER-MG</t>
  </si>
  <si>
    <t>PREFEITURA</t>
  </si>
  <si>
    <t>-</t>
  </si>
  <si>
    <t>2.5</t>
  </si>
  <si>
    <t>TABELA DE FRETE - 
(Pág. 15)</t>
  </si>
  <si>
    <t>2.7</t>
  </si>
  <si>
    <t>T</t>
  </si>
  <si>
    <t>2.8</t>
  </si>
  <si>
    <t>2.9</t>
  </si>
  <si>
    <t>2.10</t>
  </si>
  <si>
    <t>UNID</t>
  </si>
  <si>
    <t>DESCRIÇÃO DO CÁLCULO</t>
  </si>
  <si>
    <t>3.1</t>
  </si>
  <si>
    <t>3.2</t>
  </si>
  <si>
    <t>3.3</t>
  </si>
  <si>
    <t>1.1</t>
  </si>
  <si>
    <t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t>
  </si>
  <si>
    <r>
      <rPr>
        <b/>
        <sz val="9"/>
        <rFont val="Arial"/>
        <family val="2"/>
      </rPr>
      <t>1,00 unidade</t>
    </r>
    <r>
      <rPr>
        <sz val="9"/>
        <rFont val="Arial"/>
        <family val="2"/>
      </rPr>
      <t>,
de acordo com o modelo padrão de placas do estado de Minas Gerais</t>
    </r>
  </si>
  <si>
    <t xml:space="preserve"> Observações:</t>
  </si>
  <si>
    <t>U</t>
  </si>
  <si>
    <t>DEMONSTRATIVO DO BDI - SEM DESONERAÇÃO - OBRA RODOVIÁRIA</t>
  </si>
  <si>
    <t>BDI (CONFORME ACÓRDÃO Nº 2622/13 e LEI Nº 13.161 DE 31/08/15)</t>
  </si>
  <si>
    <t>DISCRIMINAÇÃO DAS PARCELAS</t>
  </si>
  <si>
    <t>SIG.</t>
  </si>
  <si>
    <t>CONSTRUÇÃO DE RODOVIAS E FERROVIAS</t>
  </si>
  <si>
    <t>INC.</t>
  </si>
  <si>
    <t>DIFERENCIADO</t>
  </si>
  <si>
    <t>MATERIAL</t>
  </si>
  <si>
    <t>SERVIÇO TERCEIRIZADO</t>
  </si>
  <si>
    <t>(ISS=5%)</t>
  </si>
  <si>
    <t>EQUIPAMENTO</t>
  </si>
  <si>
    <t>CUSTO DIRETO</t>
  </si>
  <si>
    <t>CD</t>
  </si>
  <si>
    <t>ADMINISTRAÇÃO CENTRAL</t>
  </si>
  <si>
    <t>AC</t>
  </si>
  <si>
    <t>LUCRO BRUTO</t>
  </si>
  <si>
    <t>L</t>
  </si>
  <si>
    <t>DESPESAS FINANCEIRAS</t>
  </si>
  <si>
    <t>DF</t>
  </si>
  <si>
    <t>SEGUROS, GARANTIAS E RISCO</t>
  </si>
  <si>
    <t>SEGUROS + GARANTIAS</t>
  </si>
  <si>
    <t>S</t>
  </si>
  <si>
    <t>RISCO(*)</t>
  </si>
  <si>
    <t>R</t>
  </si>
  <si>
    <t>TRIBUTOS</t>
  </si>
  <si>
    <t>I</t>
  </si>
  <si>
    <t>PV</t>
  </si>
  <si>
    <t>ISS</t>
  </si>
  <si>
    <t>PIS</t>
  </si>
  <si>
    <t>COFINS</t>
  </si>
  <si>
    <t>INSS</t>
  </si>
  <si>
    <t xml:space="preserve">-   </t>
  </si>
  <si>
    <t xml:space="preserve"> -   </t>
  </si>
  <si>
    <t>FÓRMULA DO BDI</t>
  </si>
  <si>
    <t>(1 + (AC + S + G + R)) x (1 + DF) x  (1 + L)</t>
  </si>
  <si>
    <t>(1 - (I + CPRB))</t>
  </si>
  <si>
    <t>BDI (NUMERADOR)</t>
  </si>
  <si>
    <t>BDI (DENOMINADOR)</t>
  </si>
  <si>
    <t>BDI</t>
  </si>
  <si>
    <t>OBSERVAÇÕES</t>
  </si>
  <si>
    <t>*Informamos que está em análise o pleito apresentado pelo Ofício nº 042/24-S, do Sindicato da Indústria da Construção Pesada de Minas Gerais (SICEPOT-MG), referente ao posicionamento do colegiado da Segunda Turma do Superior Tribunal de Justiça (STJ), no AREsp nº 2.486.358/SP, relatado pelo Ministro Herman Benjamin, julgado em 13/05/2024, com publicação no DJe de 29/05/2024, que versa sobre a aplicação da dedução na base de cálculo do Imposto Sobre Serviços de Qualquer Natureza (ISSQN).</t>
  </si>
  <si>
    <t>______________________________________________</t>
  </si>
  <si>
    <t>PLACA DE REGULAMENTAÇÃO EM AÇO D = 0,60 M - PELÍCULA RETRORREFLETIVA TIPO I + SI - FORNECIMENTO E IMPLANTAÇÃO</t>
  </si>
  <si>
    <t>SUPORTE METÁLICO GALVANIZADO PARA PLACA DE ADVERTÊNCIA OU REGULAMENTAÇÃO - LADO OU DIÂMETRO DE 0,60 M - FORNECIMENTO E IMPLANTAÇÃO</t>
  </si>
  <si>
    <t>ARP 231/2024
(Preço Unit.
com ICMS)</t>
  </si>
  <si>
    <t>MÊS 4</t>
  </si>
  <si>
    <t xml:space="preserve">PINTURA DE LIGAÇÃO (RR-1C) </t>
  </si>
  <si>
    <t>1.2</t>
  </si>
  <si>
    <t>4011209</t>
  </si>
  <si>
    <t>TRANSPORTE COM CAMINHÃO BASCULANTE DE 14 M³ - RODOVIA PAVIMENTADA</t>
  </si>
  <si>
    <t>2.6</t>
  </si>
  <si>
    <t>IMPRIMAÇÃO COM EMULSÃO ASFÁLTICA (EAI)</t>
  </si>
  <si>
    <r>
      <rPr>
        <b/>
        <sz val="9"/>
        <rFont val="Arial"/>
        <family val="2"/>
      </rPr>
      <t xml:space="preserve">
</t>
    </r>
    <r>
      <rPr>
        <sz val="9"/>
        <color rgb="FFFF0000"/>
        <rFont val="Arial"/>
        <family val="2"/>
      </rPr>
      <t xml:space="preserve">0 </t>
    </r>
    <r>
      <rPr>
        <sz val="9"/>
        <rFont val="Arial"/>
        <family val="2"/>
      </rPr>
      <t xml:space="preserve">placas, conforme detalhado no projeto de sinalização
</t>
    </r>
    <r>
      <rPr>
        <b/>
        <sz val="9"/>
        <rFont val="Arial"/>
        <family val="2"/>
      </rPr>
      <t/>
    </r>
  </si>
  <si>
    <r>
      <rPr>
        <sz val="9"/>
        <color rgb="FFFF0000"/>
        <rFont val="Arial"/>
        <family val="2"/>
      </rPr>
      <t xml:space="preserve">0 </t>
    </r>
    <r>
      <rPr>
        <sz val="9"/>
        <rFont val="Arial"/>
        <family val="2"/>
      </rPr>
      <t>suportes, conforme detalhado no projeto de sinalização</t>
    </r>
    <r>
      <rPr>
        <b/>
        <sz val="9"/>
        <rFont val="Arial"/>
        <family val="2"/>
      </rPr>
      <t/>
    </r>
  </si>
  <si>
    <t>Prefeito Municipal</t>
  </si>
  <si>
    <t>%</t>
  </si>
  <si>
    <t>REGULARIZAÇÃO DO SUBLEITO - 100% PROCTOR INTERMEDIÁRIO</t>
  </si>
  <si>
    <t xml:space="preserve">AQUISIÇÃO DE MATERIAL DE JAZIDA PARA BASE </t>
  </si>
  <si>
    <t>REFERÊNCIA</t>
  </si>
  <si>
    <t>PINTURA DE FAIXA COM TINTA ACRÍLICA - ESPESSURA DE 0,6 MM</t>
  </si>
  <si>
    <t>2.11</t>
  </si>
  <si>
    <t>ED-51105</t>
  </si>
  <si>
    <t>ESCAVAÇÃO MECÂNICA EM MATERIAL DE 1ª CATEGORIA, INCLUSIVE CARGA EM CAMINHÃO, EXCLUSIVE TRANSPORTE E DESCARGA</t>
  </si>
  <si>
    <t>EXECUÇÃO E APLICAÇÃO DE CONCRETO BETUMINOSO USINADO A QUENTE (CBUQ), MASSA COMERCIAL, INCLUINDO FORNECIMENTO E TRANSPORTE DOS AGREGADOS E  MATERIAL BETUMINOSO, EXCLUSIVE TRANSPORTE DA MASSA ASFÁLTICA ATÉ A PISTA</t>
  </si>
  <si>
    <t>2.12</t>
  </si>
  <si>
    <t>SICRO-DNIT</t>
  </si>
  <si>
    <t>TRANSPORTE DE MISTURA BETUMINOSA A QUENTE COM CAMINHÃO COM CAÇAMBA TÉRMICA DE 6 M³ - RODOVIA PAVIMENTADA</t>
  </si>
  <si>
    <t>TKM</t>
  </si>
  <si>
    <t>5213464</t>
  </si>
  <si>
    <t xml:space="preserve">PLACA DE ADVERTÊNCIA EM AÇO, LADO DE 0,60 M - PELÍCULA RETRORREFLETIVA TIPO I + SI - FORNECIMENTO E IMPLANTAÇÃO </t>
  </si>
  <si>
    <t>3.4</t>
  </si>
  <si>
    <t>SUPORTE METÁLICO GALVANIZADO PARA PLACA DE REGULAMENTAÇÃO</t>
  </si>
  <si>
    <t>3.5</t>
  </si>
  <si>
    <r>
      <t>OBRA:</t>
    </r>
    <r>
      <rPr>
        <sz val="9"/>
        <color indexed="8"/>
        <rFont val="Calibri"/>
        <family val="2"/>
        <scheme val="minor"/>
      </rPr>
      <t xml:space="preserve"> PAVIMENTAÇÃO ASFÁLTICA EM CBUQ</t>
    </r>
  </si>
  <si>
    <r>
      <rPr>
        <sz val="9"/>
        <color rgb="FFFF0000"/>
        <rFont val="Arial"/>
        <family val="2"/>
      </rPr>
      <t xml:space="preserve">0 </t>
    </r>
    <r>
      <rPr>
        <sz val="9"/>
        <rFont val="Arial"/>
        <family val="2"/>
      </rPr>
      <t xml:space="preserve">metros x </t>
    </r>
    <r>
      <rPr>
        <sz val="9"/>
        <color rgb="FFFF0000"/>
        <rFont val="Arial"/>
        <family val="2"/>
      </rPr>
      <t>0</t>
    </r>
    <r>
      <rPr>
        <sz val="9"/>
        <rFont val="Arial"/>
        <family val="2"/>
      </rPr>
      <t xml:space="preserve"> cm esp. = </t>
    </r>
    <r>
      <rPr>
        <sz val="9"/>
        <color rgb="FFFF0000"/>
        <rFont val="Arial"/>
        <family val="2"/>
      </rPr>
      <t>00,00 m2</t>
    </r>
    <r>
      <rPr>
        <sz val="9"/>
        <rFont val="Arial"/>
        <family val="2"/>
      </rPr>
      <t>, conforme detalhado no projeto de sinalização</t>
    </r>
    <r>
      <rPr>
        <b/>
        <sz val="9"/>
        <rFont val="Arial"/>
        <family val="2"/>
      </rPr>
      <t/>
    </r>
  </si>
  <si>
    <t>A CARGO DA PREFEITURA MUNICIPAL</t>
  </si>
  <si>
    <r>
      <t xml:space="preserve">PRAZO DA OBRA: </t>
    </r>
    <r>
      <rPr>
        <sz val="10"/>
        <rFont val="Arial"/>
        <family val="2"/>
      </rPr>
      <t>2 meses</t>
    </r>
  </si>
  <si>
    <t xml:space="preserve"> ED-50392</t>
  </si>
  <si>
    <t xml:space="preserve"> MOBILIZAÇÃO E DESMOBILIZAÇÃO DE OBRA EM CENTRO URBANO
 OU REGIÃO LIMÍTROFE COM VALOR ATÉ 1.000.000,0</t>
  </si>
  <si>
    <t>0,5% do valor da obra</t>
  </si>
  <si>
    <t>SINALIZAÇÃO E ACESSIBILIDADE</t>
  </si>
  <si>
    <t>3.6</t>
  </si>
  <si>
    <t xml:space="preserve"> ED-51148</t>
  </si>
  <si>
    <r>
      <rPr>
        <b/>
        <sz val="9"/>
        <rFont val="Arial"/>
        <family val="2"/>
      </rPr>
      <t xml:space="preserve">
</t>
    </r>
    <r>
      <rPr>
        <sz val="9"/>
        <color rgb="FFFF0000"/>
        <rFont val="Arial"/>
        <family val="2"/>
      </rPr>
      <t>0</t>
    </r>
    <r>
      <rPr>
        <sz val="9"/>
        <rFont val="Arial"/>
        <family val="2"/>
      </rPr>
      <t xml:space="preserve"> rampas, conforme detalhado no projeto
</t>
    </r>
    <r>
      <rPr>
        <b/>
        <sz val="9"/>
        <rFont val="Arial"/>
        <family val="2"/>
      </rPr>
      <t/>
    </r>
  </si>
  <si>
    <t>OBS: enviar composição do BDI não pode ultrapassar o BDI referencial da SEINFRA</t>
  </si>
  <si>
    <t>PREFEITURA MUNICIPAL DE UBAÍ</t>
  </si>
  <si>
    <t>INSERIR BAIRRO NO ENDEREÇO - COMPATIBILIZAR ENDEREÇO EM TODOS OS DOCS</t>
  </si>
  <si>
    <t>INSERIR ISS MUNICIPAL CONFORME LEI ORÇAMENTÁRIA</t>
  </si>
  <si>
    <r>
      <t xml:space="preserve">PRAZO DE EXECUÇÃO: </t>
    </r>
    <r>
      <rPr>
        <sz val="9"/>
        <rFont val="Calibri"/>
        <family val="2"/>
        <scheme val="minor"/>
      </rPr>
      <t>2 meses</t>
    </r>
  </si>
  <si>
    <t xml:space="preserve"> LOCAÇÃO TOPOGRÁFICA PARA ATÉ VINTE (20) PONTOS REFERENCIAIS, INCLUSIVE ESTACA (PIQUETE) DE MARCAÇÃO</t>
  </si>
  <si>
    <t xml:space="preserve"> ED-50274</t>
  </si>
  <si>
    <t>1.3</t>
  </si>
  <si>
    <t>1.4</t>
  </si>
  <si>
    <t xml:space="preserve">BARRACÃO DE OBRA, EM CHAPA DE COMPENSADO RESINADO, INCLUSIVE INSTALAÇÕES SANITÁRIAS E MOBILIÁRIO - PADRÃO DER-MG </t>
  </si>
  <si>
    <t>ED-50135</t>
  </si>
  <si>
    <t>BASE DE SOLO ESTABILIZADO GRANULOMETRICAMENTE SEM MISTURA COM MATERIAL DE JAZIDA - 100% PROCTOR MODIFICADO</t>
  </si>
  <si>
    <t>4011219</t>
  </si>
  <si>
    <t>PAVIMENTAÇÃO ASFÁLTICA E DRENAGEM SUPERFICIAL</t>
  </si>
  <si>
    <t>2.13</t>
  </si>
  <si>
    <t xml:space="preserve"> SINAPI-MG</t>
  </si>
  <si>
    <t>M</t>
  </si>
  <si>
    <t>GUIA (MEIO-FIO) E SARJETA CONJUGADOS DE CONCRETO, MOLDADA IN LOCO EM TRECHO RETO COM EXTRUSORA, 45 CM BASE (15 CM BASE DA GUIA + 30 CM BASE DA SARJETA) X 22 CM ALTURA. AF_06/2016</t>
  </si>
  <si>
    <t>RAMPA PARA ACESSO DE DEFICIENTE, EM CONCRETO SIMPLES FCK = 25 MPA,  DESEMPENADA, COM PINTURA INDICATIVA, 02 DEMÃOS</t>
  </si>
  <si>
    <t>ROBSON RODRIGUES</t>
  </si>
  <si>
    <t>Engenheiro Civil - CREA-MG   Nº. 159.788/D</t>
  </si>
  <si>
    <t>comprimento</t>
  </si>
  <si>
    <t>largura</t>
  </si>
  <si>
    <t>01/01</t>
  </si>
  <si>
    <t>FOLHA:</t>
  </si>
  <si>
    <t xml:space="preserve">LOCAL: </t>
  </si>
  <si>
    <t>CROQUI DE LOCALIZAÇÃO</t>
  </si>
  <si>
    <t>ASSUNTO:</t>
  </si>
  <si>
    <t>OBRA:</t>
  </si>
  <si>
    <t>FONTE IMAGEM: GOOGLE EARTH</t>
  </si>
  <si>
    <t xml:space="preserve">   C.G.: RUA A</t>
  </si>
  <si>
    <t xml:space="preserve">   C.G.: RUA ALFREDO VELOSO:</t>
  </si>
  <si>
    <t>Início:  16°17'14.16"S  44°46'59.05"             Fim:  16°17'31.88"S  44°47'7.65"O</t>
  </si>
  <si>
    <t>Início:  16°17'31.88"S  44°47'7.65"O         Fim:  16°17'32.39"S  44°47'6.44"</t>
  </si>
  <si>
    <t>____________________________  FARELY VIEIRA RIBEIRO
PREFEITO MUNICIPAL</t>
  </si>
  <si>
    <t xml:space="preserve">_________________________     ROBSON RODRIGUES
ENGENHEIRO CIVIL                          </t>
  </si>
  <si>
    <t>PAVIMENTAÇÃO ASFÁLTICA EM CBUQ</t>
  </si>
  <si>
    <r>
      <t xml:space="preserve">ISS </t>
    </r>
    <r>
      <rPr>
        <b/>
        <vertAlign val="superscript"/>
        <sz val="8"/>
        <color rgb="FFFFFFFF"/>
        <rFont val="Arial"/>
        <family val="2"/>
      </rPr>
      <t>(2)</t>
    </r>
  </si>
  <si>
    <r>
      <t>ISS</t>
    </r>
    <r>
      <rPr>
        <vertAlign val="superscript"/>
        <sz val="8"/>
        <rFont val="Arial"/>
        <family val="2"/>
      </rPr>
      <t>(2)</t>
    </r>
  </si>
  <si>
    <r>
      <t>(1)</t>
    </r>
    <r>
      <rPr>
        <sz val="8"/>
        <rFont val="Arial"/>
        <family val="2"/>
      </rPr>
      <t xml:space="preserve"> SIGLA.</t>
    </r>
  </si>
  <si>
    <r>
      <t xml:space="preserve">(2) </t>
    </r>
    <r>
      <rPr>
        <sz val="8"/>
        <rFont val="Arial"/>
        <family val="2"/>
      </rPr>
      <t>INCIDÊNCIA DE ISS EM 70% DO PREÇO DE VENDA, COM PERCENTUAIS DE 2%, 3%, 4% E 5%.</t>
    </r>
  </si>
  <si>
    <r>
      <t xml:space="preserve">(3) </t>
    </r>
    <r>
      <rPr>
        <sz val="8"/>
        <rFont val="Arial"/>
        <family val="2"/>
      </rPr>
      <t>BDI DIFERENCIADO A SER APLICADO EM LOCAÇÃO DE CUSTO HORÁRIO DE EQUIPAMENTO.</t>
    </r>
  </si>
  <si>
    <r>
      <t xml:space="preserve">(4) </t>
    </r>
    <r>
      <rPr>
        <sz val="8"/>
        <rFont val="Arial"/>
        <family val="2"/>
      </rPr>
      <t>BDI DIFERENCIADO A SER APLICADO PARA SERVIÇOS TERCEIRIZADOS.</t>
    </r>
  </si>
  <si>
    <r>
      <t xml:space="preserve">(5) </t>
    </r>
    <r>
      <rPr>
        <sz val="8"/>
        <rFont val="Arial"/>
        <family val="2"/>
      </rPr>
      <t>BDI DIFERENCIADO A SER APLICADO PARA FORNECIMENTO DE MATERIAL BETUMINOSO E MATERIAL DE JAZIDA.</t>
    </r>
  </si>
  <si>
    <r>
      <t xml:space="preserve">(6) </t>
    </r>
    <r>
      <rPr>
        <sz val="8"/>
        <rFont val="Arial"/>
        <family val="2"/>
      </rPr>
      <t>INCIDÊNCIA.</t>
    </r>
  </si>
  <si>
    <r>
      <t xml:space="preserve">CPRB </t>
    </r>
    <r>
      <rPr>
        <vertAlign val="superscript"/>
        <sz val="8"/>
        <rFont val="Arial"/>
        <family val="2"/>
      </rPr>
      <t>(7)</t>
    </r>
  </si>
  <si>
    <r>
      <t>(7)</t>
    </r>
    <r>
      <rPr>
        <sz val="8"/>
        <rFont val="Arial"/>
        <family val="2"/>
      </rPr>
      <t xml:space="preserve"> TRANSIÇÃO DESONERAÇÃO LEI Nº 14.973, DE 16 DE SETEMBRO DE 2024.</t>
    </r>
  </si>
  <si>
    <t>FORNECIMENTO DE MATERIAL BETUMINOSO (EAI)</t>
  </si>
  <si>
    <t>FORNECIMENTO DE MATERIAL BETUMINOSO (RR-1C)</t>
  </si>
  <si>
    <t>2.14</t>
  </si>
  <si>
    <r>
      <t xml:space="preserve">FRETE DE MATERIAL BETUMINOSO - DER
</t>
    </r>
    <r>
      <rPr>
        <sz val="7"/>
        <rFont val="Calibri"/>
        <family val="2"/>
        <scheme val="minor"/>
      </rPr>
      <t>*BDI DIFERENCIADO A SER APLICADO PARA FORNECIMENTO DE MATERIAL BETUMINOSO E MATERIAL DE JAZIDA. FÓRMULA PARA CUSTO DO FRETE:  (0,7662 * distância em km) + 49,5103; DMT = 502KM</t>
    </r>
  </si>
  <si>
    <r>
      <rPr>
        <b/>
        <sz val="9"/>
        <rFont val="Calibri"/>
        <family val="2"/>
        <scheme val="minor"/>
      </rPr>
      <t>REGIÃO/MÊS DE REFERÊNCIA:</t>
    </r>
    <r>
      <rPr>
        <sz val="9"/>
        <rFont val="Calibri"/>
        <family val="2"/>
        <scheme val="minor"/>
      </rPr>
      <t xml:space="preserve"> REGIÃO NORTE - SICOR/SEINFRA JULHO/2025 SEM DESONERAÇÃO;  
SICRO-MG - JULHO/2025 - SEM DESONERAÇÃO; SINAPI-MG SETEMBRO/2025 SEM DESONERAÇÃO; ATA DE REGISTRO DE PREÇOS ARP 231/2024 - DER-MG, JUNHO DE 2025; TABELA DE FRETE DE MATERIAL BETUMINOSO - DER/MG - AGOSTO DE 2025.</t>
    </r>
  </si>
  <si>
    <t xml:space="preserve"> 5 m de comprimento x 2 m de largura</t>
  </si>
  <si>
    <t>ok</t>
  </si>
  <si>
    <t>LOCAL: RUA "A" E RUA ALFREDO VELOSO,  BAIRRO MACAMBIRA, MUNICÍPIO DE UBAÍ-MG</t>
  </si>
  <si>
    <t>RT: Robson Rodrigues</t>
  </si>
  <si>
    <t>PREF: Farley Vieira</t>
  </si>
  <si>
    <t>Prefeito Municipal de Ubaí MG</t>
  </si>
  <si>
    <t>PREF.: Farley Vieira Ribeiro</t>
  </si>
  <si>
    <t>Eng. Civil, CREA/MG n.º 159.788/D</t>
  </si>
  <si>
    <t>R.T.: Robson Rodrigues</t>
  </si>
  <si>
    <t>Eng. Civl, CREA/MG n.º 159.788/D</t>
  </si>
  <si>
    <t>DMT - REFINARIA</t>
  </si>
  <si>
    <t>Prefeito Municiapal de Ubaí MG</t>
  </si>
  <si>
    <t>DMT - JAZIDA</t>
  </si>
  <si>
    <t>DMT - BOTA FORA</t>
  </si>
  <si>
    <t>Eng. Civil, CREA / MG n.º 159.788/D</t>
  </si>
  <si>
    <t>DMT - USINA</t>
  </si>
  <si>
    <t>PREFEITURA MUNICIPAL DE PINTÓPOLIS</t>
  </si>
  <si>
    <r>
      <t>LOCAL:</t>
    </r>
    <r>
      <rPr>
        <sz val="9"/>
        <color indexed="8"/>
        <rFont val="Calibri"/>
        <family val="2"/>
        <scheme val="minor"/>
      </rPr>
      <t xml:space="preserve"> PROLONGAMENTO DA AV. JK,  BAIRRO VICENTE CARDOSO, MUNICÍPIO DE PINTÓPOLIS-MG</t>
    </r>
  </si>
  <si>
    <t>ELTON CARLOS JOSÉ DE SOUZA</t>
  </si>
  <si>
    <r>
      <t xml:space="preserve">área da pista * espessura da base
3.402,70 m2 </t>
    </r>
    <r>
      <rPr>
        <sz val="9"/>
        <rFont val="Arial"/>
        <family val="2"/>
      </rPr>
      <t>(área da pista)</t>
    </r>
    <r>
      <rPr>
        <b/>
        <sz val="9"/>
        <rFont val="Arial"/>
        <family val="2"/>
      </rPr>
      <t>* 0,15 m</t>
    </r>
    <r>
      <rPr>
        <sz val="9"/>
        <rFont val="Arial"/>
        <family val="2"/>
      </rPr>
      <t xml:space="preserve"> (espessura base)</t>
    </r>
    <r>
      <rPr>
        <b/>
        <sz val="9"/>
        <rFont val="Arial"/>
        <family val="2"/>
      </rPr>
      <t xml:space="preserve"> = 510,41 m3 </t>
    </r>
  </si>
  <si>
    <t>Volume (m3) * peso específico aprox. do cascalho (1,8) t/m3 * distância (km)
510,41 m3 x *1,8 t/m3 x 16,1 km = 14.791,54 TxKM</t>
  </si>
  <si>
    <t xml:space="preserve">BOTA FORA
Volume (m3) * peso específico aprox. do material retirado - terra (1,6) t/m3 * distância (km)
510,41 m3 x *1,6 t/m3 x 3,4 km = 2.776,60 TxKM
</t>
  </si>
  <si>
    <r>
      <t xml:space="preserve">(Área total da imprimação x Índice)
</t>
    </r>
    <r>
      <rPr>
        <sz val="9"/>
        <rFont val="Arial"/>
        <family val="2"/>
      </rPr>
      <t>(3.111,04 * 0,0012) = 3,73 T</t>
    </r>
  </si>
  <si>
    <r>
      <t xml:space="preserve">(Área total da pintura de ligação x Índice)
</t>
    </r>
    <r>
      <rPr>
        <sz val="9"/>
        <rFont val="Arial"/>
        <family val="2"/>
      </rPr>
      <t>(3.111,04 * 0,0005) = 1,56 T</t>
    </r>
  </si>
  <si>
    <r>
      <t xml:space="preserve">(Área total da imprimação x Índice) + (Área total da pintura de ligação x Índice)
</t>
    </r>
    <r>
      <rPr>
        <sz val="9"/>
        <rFont val="Arial"/>
        <family val="2"/>
      </rPr>
      <t>(3.111,04 * 0,0012) + (3.111,04 * 0,0005) = 5,29 T</t>
    </r>
  </si>
  <si>
    <r>
      <rPr>
        <b/>
        <sz val="9"/>
        <rFont val="Arial"/>
        <family val="2"/>
      </rPr>
      <t>área da pista de rolamento x esp. da capa asfáltica</t>
    </r>
    <r>
      <rPr>
        <sz val="9"/>
        <rFont val="Arial"/>
        <family val="2"/>
      </rPr>
      <t xml:space="preserve">
3.111,04 m2 x 0,03 m = 93,33 m3</t>
    </r>
  </si>
  <si>
    <r>
      <rPr>
        <b/>
        <sz val="9"/>
        <rFont val="Arial"/>
        <family val="2"/>
      </rPr>
      <t>Volume de CBUQ x Peso especifico do CBUQ) x Distancia da usina até a obra</t>
    </r>
    <r>
      <rPr>
        <sz val="9"/>
        <rFont val="Arial"/>
        <family val="2"/>
      </rPr>
      <t xml:space="preserve">
93,33 m3 x 2,4 t/m3 x 208 km = 46.590,94 TxKM</t>
    </r>
  </si>
  <si>
    <r>
      <t>Locação topográfica a cada 25,00m 
Av. JK: 486,10</t>
    </r>
    <r>
      <rPr>
        <sz val="9"/>
        <rFont val="Arial"/>
        <family val="2"/>
      </rPr>
      <t xml:space="preserve"> m / 25,00 m = 19,44 und. Arredondando para 19,00 und.</t>
    </r>
    <r>
      <rPr>
        <b/>
        <sz val="9"/>
        <rFont val="Arial"/>
        <family val="2"/>
      </rPr>
      <t xml:space="preserve">
Total: 25,00 und.</t>
    </r>
  </si>
  <si>
    <r>
      <t>Comprimento * largura da pista
Av. JK: 486,10</t>
    </r>
    <r>
      <rPr>
        <sz val="9"/>
        <rFont val="Arial"/>
        <family val="2"/>
      </rPr>
      <t xml:space="preserve"> m x 7,00 m = 3.402,70 m2</t>
    </r>
    <r>
      <rPr>
        <b/>
        <sz val="9"/>
        <rFont val="Arial"/>
        <family val="2"/>
      </rPr>
      <t xml:space="preserve">
Total: 3.402,70</t>
    </r>
    <r>
      <rPr>
        <sz val="9"/>
        <rFont val="Arial"/>
        <family val="2"/>
      </rPr>
      <t xml:space="preserve"> m2</t>
    </r>
  </si>
  <si>
    <t>Comprimento * largura da pista
Av. JK: 486,10 m x 6,40 m = 3.111,04 m2
Total: 3.111,04 m2</t>
  </si>
  <si>
    <t xml:space="preserve">conforme cotas do projeto:
Av. JK:
361,70 + 273,00 + 281,40 = 916,10 m
Total: 916,10 m
</t>
  </si>
  <si>
    <t>LOCAL: AV. JK,  BAIRRO VICENTE CARDOSO, MUNICÍPIO DE PINTÓPOLIS-MG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</si>
</sst>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&quot;R$&quot;\ #,##0.00;\-&quot;R$&quot;\ #,##0.00"/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&quot;R$&quot;\ #,##0.00"/>
    <numFmt numFmtId="166" formatCode="&quot;R$ &quot;#,##0.00"/>
    <numFmt numFmtId="167" formatCode="0.0%"/>
  </numFmts>
  <fonts count="4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color rgb="FF92D050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7"/>
      <name val="Calibri"/>
      <family val="2"/>
      <scheme val="minor"/>
    </font>
    <font>
      <b/>
      <sz val="10"/>
      <name val="Calibri"/>
      <family val="2"/>
      <scheme val="minor"/>
    </font>
    <font>
      <b/>
      <sz val="7"/>
      <name val="Arial"/>
      <family val="2"/>
    </font>
    <font>
      <b/>
      <sz val="13"/>
      <name val="Arial"/>
      <family val="2"/>
    </font>
    <font>
      <sz val="11"/>
      <color rgb="FF000000"/>
      <name val="Calibri"/>
      <family val="2"/>
    </font>
    <font>
      <sz val="12"/>
      <name val="Arial Black"/>
      <family val="2"/>
    </font>
    <font>
      <b/>
      <sz val="8"/>
      <color rgb="FFFFFFFF"/>
      <name val="Arial"/>
      <family val="2"/>
    </font>
    <font>
      <b/>
      <vertAlign val="superscript"/>
      <sz val="8"/>
      <color rgb="FFFFFFFF"/>
      <name val="Arial"/>
      <family val="2"/>
    </font>
    <font>
      <vertAlign val="superscript"/>
      <sz val="8"/>
      <name val="Arial"/>
      <family val="2"/>
    </font>
    <font>
      <b/>
      <u/>
      <sz val="8"/>
      <name val="Arial"/>
      <family val="2"/>
    </font>
    <font>
      <sz val="8"/>
      <color rgb="FF000000"/>
      <name val="Arial"/>
      <family val="2"/>
    </font>
    <font>
      <sz val="8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6" tint="0.59999389629810485"/>
        <bgColor indexed="64"/>
      </patternFill>
    </fill>
  </fills>
  <borders count="10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rgb="FF000000"/>
      </bottom>
      <diagonal/>
    </border>
    <border>
      <left/>
      <right/>
      <top style="hair">
        <color indexed="64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indexed="64"/>
      </bottom>
      <diagonal/>
    </border>
    <border>
      <left/>
      <right/>
      <top style="hair">
        <color rgb="FF000000"/>
      </top>
      <bottom style="hair">
        <color indexed="64"/>
      </bottom>
      <diagonal/>
    </border>
    <border>
      <left/>
      <right style="hair">
        <color rgb="FF000000"/>
      </right>
      <top style="hair">
        <color rgb="FF000000"/>
      </top>
      <bottom style="hair">
        <color indexed="64"/>
      </bottom>
      <diagonal/>
    </border>
    <border>
      <left style="hair">
        <color rgb="FF000000"/>
      </left>
      <right/>
      <top style="hair">
        <color indexed="64"/>
      </top>
      <bottom style="hair">
        <color rgb="FF000000"/>
      </bottom>
      <diagonal/>
    </border>
    <border>
      <left/>
      <right style="hair">
        <color indexed="64"/>
      </right>
      <top style="hair">
        <color indexed="64"/>
      </top>
      <bottom style="hair">
        <color rgb="FF000000"/>
      </bottom>
      <diagonal/>
    </border>
    <border>
      <left/>
      <right style="hair">
        <color rgb="FF000000"/>
      </right>
      <top style="hair">
        <color indexed="64"/>
      </top>
      <bottom style="hair">
        <color rgb="FF000000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/>
      <bottom style="hair">
        <color indexed="64"/>
      </bottom>
      <diagonal/>
    </border>
    <border>
      <left/>
      <right style="hair">
        <color rgb="FF000000"/>
      </right>
      <top style="hair">
        <color indexed="64"/>
      </top>
      <bottom/>
      <diagonal/>
    </border>
    <border>
      <left/>
      <right style="hair">
        <color rgb="FF000000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98" applyNumberFormat="0" applyAlignment="0" applyProtection="0"/>
    <xf numFmtId="0" fontId="1" fillId="0" borderId="0"/>
  </cellStyleXfs>
  <cellXfs count="441">
    <xf numFmtId="0" fontId="0" fillId="0" borderId="0" xfId="0"/>
    <xf numFmtId="0" fontId="4" fillId="0" borderId="0" xfId="0" applyFont="1"/>
    <xf numFmtId="4" fontId="4" fillId="0" borderId="0" xfId="0" applyNumberFormat="1" applyFont="1"/>
    <xf numFmtId="0" fontId="0" fillId="2" borderId="0" xfId="0" applyFill="1"/>
    <xf numFmtId="0" fontId="0" fillId="2" borderId="0" xfId="0" applyFill="1" applyAlignment="1">
      <alignment wrapText="1"/>
    </xf>
    <xf numFmtId="0" fontId="0" fillId="2" borderId="25" xfId="0" applyFill="1" applyBorder="1"/>
    <xf numFmtId="0" fontId="0" fillId="2" borderId="25" xfId="0" applyFill="1" applyBorder="1" applyAlignment="1">
      <alignment wrapText="1"/>
    </xf>
    <xf numFmtId="0" fontId="0" fillId="2" borderId="28" xfId="0" applyFill="1" applyBorder="1"/>
    <xf numFmtId="0" fontId="0" fillId="2" borderId="33" xfId="0" applyFill="1" applyBorder="1"/>
    <xf numFmtId="0" fontId="9" fillId="2" borderId="29" xfId="0" applyFont="1" applyFill="1" applyBorder="1"/>
    <xf numFmtId="0" fontId="1" fillId="2" borderId="0" xfId="0" applyFont="1" applyFill="1"/>
    <xf numFmtId="0" fontId="2" fillId="2" borderId="33" xfId="0" applyFont="1" applyFill="1" applyBorder="1" applyAlignment="1">
      <alignment vertical="center"/>
    </xf>
    <xf numFmtId="0" fontId="0" fillId="2" borderId="33" xfId="0" applyFill="1" applyBorder="1" applyAlignment="1">
      <alignment vertical="center"/>
    </xf>
    <xf numFmtId="0" fontId="11" fillId="2" borderId="29" xfId="0" applyFont="1" applyFill="1" applyBorder="1" applyAlignment="1">
      <alignment wrapText="1"/>
    </xf>
    <xf numFmtId="0" fontId="11" fillId="2" borderId="33" xfId="0" applyFont="1" applyFill="1" applyBorder="1" applyAlignment="1">
      <alignment wrapText="1"/>
    </xf>
    <xf numFmtId="0" fontId="11" fillId="2" borderId="34" xfId="0" applyFont="1" applyFill="1" applyBorder="1" applyAlignment="1">
      <alignment wrapText="1"/>
    </xf>
    <xf numFmtId="0" fontId="11" fillId="2" borderId="21" xfId="0" applyFont="1" applyFill="1" applyBorder="1" applyAlignment="1">
      <alignment wrapText="1"/>
    </xf>
    <xf numFmtId="0" fontId="11" fillId="2" borderId="20" xfId="0" applyFont="1" applyFill="1" applyBorder="1" applyAlignment="1">
      <alignment wrapText="1"/>
    </xf>
    <xf numFmtId="49" fontId="8" fillId="3" borderId="35" xfId="0" applyNumberFormat="1" applyFont="1" applyFill="1" applyBorder="1" applyAlignment="1">
      <alignment horizontal="center" vertical="top" wrapText="1"/>
    </xf>
    <xf numFmtId="49" fontId="8" fillId="3" borderId="36" xfId="0" applyNumberFormat="1" applyFont="1" applyFill="1" applyBorder="1" applyAlignment="1">
      <alignment horizontal="center" vertical="top" wrapText="1"/>
    </xf>
    <xf numFmtId="49" fontId="10" fillId="2" borderId="38" xfId="0" applyNumberFormat="1" applyFont="1" applyFill="1" applyBorder="1" applyAlignment="1">
      <alignment horizontal="center" vertical="top" wrapText="1"/>
    </xf>
    <xf numFmtId="49" fontId="10" fillId="4" borderId="38" xfId="0" applyNumberFormat="1" applyFont="1" applyFill="1" applyBorder="1" applyAlignment="1">
      <alignment horizontal="center" vertical="top" wrapText="1"/>
    </xf>
    <xf numFmtId="49" fontId="10" fillId="4" borderId="42" xfId="0" applyNumberFormat="1" applyFont="1" applyFill="1" applyBorder="1" applyAlignment="1">
      <alignment horizontal="center" vertical="top" wrapText="1"/>
    </xf>
    <xf numFmtId="0" fontId="0" fillId="2" borderId="22" xfId="0" applyFill="1" applyBorder="1" applyAlignment="1">
      <alignment wrapText="1"/>
    </xf>
    <xf numFmtId="0" fontId="0" fillId="2" borderId="21" xfId="0" applyFill="1" applyBorder="1" applyAlignment="1">
      <alignment wrapText="1"/>
    </xf>
    <xf numFmtId="0" fontId="0" fillId="2" borderId="21" xfId="0" applyFill="1" applyBorder="1"/>
    <xf numFmtId="0" fontId="0" fillId="2" borderId="20" xfId="0" applyFill="1" applyBorder="1"/>
    <xf numFmtId="4" fontId="0" fillId="2" borderId="0" xfId="0" applyNumberFormat="1" applyFill="1"/>
    <xf numFmtId="9" fontId="0" fillId="2" borderId="0" xfId="1" applyFont="1" applyFill="1"/>
    <xf numFmtId="4" fontId="10" fillId="4" borderId="38" xfId="0" applyNumberFormat="1" applyFont="1" applyFill="1" applyBorder="1" applyAlignment="1">
      <alignment horizontal="center" vertical="top" wrapText="1"/>
    </xf>
    <xf numFmtId="10" fontId="10" fillId="2" borderId="42" xfId="0" applyNumberFormat="1" applyFont="1" applyFill="1" applyBorder="1" applyAlignment="1">
      <alignment horizontal="center" vertical="top" wrapText="1"/>
    </xf>
    <xf numFmtId="4" fontId="10" fillId="2" borderId="38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10" fontId="8" fillId="3" borderId="36" xfId="0" applyNumberFormat="1" applyFont="1" applyFill="1" applyBorder="1" applyAlignment="1">
      <alignment horizontal="center" vertical="top" wrapText="1"/>
    </xf>
    <xf numFmtId="4" fontId="8" fillId="3" borderId="35" xfId="0" applyNumberFormat="1" applyFont="1" applyFill="1" applyBorder="1" applyAlignment="1">
      <alignment horizontal="center" vertical="top" wrapText="1"/>
    </xf>
    <xf numFmtId="166" fontId="8" fillId="3" borderId="35" xfId="0" applyNumberFormat="1" applyFont="1" applyFill="1" applyBorder="1" applyAlignment="1">
      <alignment horizontal="center" vertical="top" wrapText="1"/>
    </xf>
    <xf numFmtId="165" fontId="4" fillId="0" borderId="0" xfId="0" applyNumberFormat="1" applyFont="1"/>
    <xf numFmtId="0" fontId="1" fillId="5" borderId="0" xfId="0" applyFont="1" applyFill="1"/>
    <xf numFmtId="10" fontId="0" fillId="2" borderId="0" xfId="0" applyNumberFormat="1" applyFill="1"/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4" fontId="4" fillId="0" borderId="0" xfId="4" applyFont="1"/>
    <xf numFmtId="44" fontId="4" fillId="0" borderId="0" xfId="0" applyNumberFormat="1" applyFont="1"/>
    <xf numFmtId="2" fontId="4" fillId="0" borderId="0" xfId="0" applyNumberFormat="1" applyFont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left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" fontId="8" fillId="0" borderId="30" xfId="0" applyNumberFormat="1" applyFont="1" applyBorder="1" applyAlignment="1">
      <alignment horizontal="center" vertical="center" wrapText="1"/>
    </xf>
    <xf numFmtId="0" fontId="10" fillId="0" borderId="29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30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29" xfId="0" applyFont="1" applyBorder="1"/>
    <xf numFmtId="0" fontId="10" fillId="0" borderId="0" xfId="0" applyFont="1"/>
    <xf numFmtId="0" fontId="10" fillId="0" borderId="30" xfId="0" applyFont="1" applyBorder="1"/>
    <xf numFmtId="0" fontId="10" fillId="0" borderId="28" xfId="0" applyFont="1" applyBorder="1"/>
    <xf numFmtId="0" fontId="10" fillId="0" borderId="25" xfId="0" applyFont="1" applyBorder="1"/>
    <xf numFmtId="0" fontId="10" fillId="0" borderId="31" xfId="0" applyFont="1" applyBorder="1"/>
    <xf numFmtId="4" fontId="3" fillId="0" borderId="13" xfId="0" applyNumberFormat="1" applyFont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49" fontId="13" fillId="5" borderId="13" xfId="0" applyNumberFormat="1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left" vertical="center" wrapText="1"/>
    </xf>
    <xf numFmtId="2" fontId="13" fillId="5" borderId="13" xfId="2" applyNumberFormat="1" applyFont="1" applyFill="1" applyBorder="1" applyAlignment="1">
      <alignment horizontal="center" vertical="center" wrapText="1"/>
    </xf>
    <xf numFmtId="4" fontId="13" fillId="5" borderId="13" xfId="0" applyNumberFormat="1" applyFont="1" applyFill="1" applyBorder="1" applyAlignment="1">
      <alignment horizontal="center" vertical="center" wrapText="1"/>
    </xf>
    <xf numFmtId="2" fontId="8" fillId="5" borderId="13" xfId="2" applyNumberFormat="1" applyFont="1" applyFill="1" applyBorder="1" applyAlignment="1">
      <alignment horizontal="center" vertical="center" wrapText="1"/>
    </xf>
    <xf numFmtId="4" fontId="14" fillId="5" borderId="13" xfId="2" applyNumberFormat="1" applyFont="1" applyFill="1" applyBorder="1" applyAlignment="1">
      <alignment horizontal="center" vertical="center"/>
    </xf>
    <xf numFmtId="4" fontId="7" fillId="5" borderId="13" xfId="2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0" fontId="8" fillId="3" borderId="54" xfId="0" applyNumberFormat="1" applyFont="1" applyFill="1" applyBorder="1" applyAlignment="1">
      <alignment horizontal="center" vertical="top" wrapText="1"/>
    </xf>
    <xf numFmtId="166" fontId="8" fillId="3" borderId="55" xfId="0" applyNumberFormat="1" applyFont="1" applyFill="1" applyBorder="1" applyAlignment="1">
      <alignment horizontal="center" vertical="top" wrapText="1"/>
    </xf>
    <xf numFmtId="0" fontId="11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11" fillId="2" borderId="56" xfId="0" applyFont="1" applyFill="1" applyBorder="1" applyAlignment="1">
      <alignment vertical="center"/>
    </xf>
    <xf numFmtId="0" fontId="11" fillId="2" borderId="21" xfId="0" applyFont="1" applyFill="1" applyBorder="1" applyAlignment="1">
      <alignment vertical="center"/>
    </xf>
    <xf numFmtId="7" fontId="11" fillId="2" borderId="34" xfId="3" applyNumberFormat="1" applyFont="1" applyFill="1" applyBorder="1" applyAlignment="1">
      <alignment horizontal="left" vertical="center"/>
    </xf>
    <xf numFmtId="14" fontId="11" fillId="2" borderId="22" xfId="0" applyNumberFormat="1" applyFont="1" applyFill="1" applyBorder="1" applyAlignment="1">
      <alignment horizontal="left" vertical="center"/>
    </xf>
    <xf numFmtId="0" fontId="11" fillId="2" borderId="41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9" fontId="6" fillId="0" borderId="49" xfId="0" applyNumberFormat="1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13" fillId="5" borderId="5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44" fontId="5" fillId="0" borderId="0" xfId="4" applyFont="1" applyAlignment="1">
      <alignment horizontal="center" vertical="top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4" fontId="9" fillId="0" borderId="13" xfId="2" applyNumberFormat="1" applyFont="1" applyBorder="1" applyAlignment="1">
      <alignment horizontal="center" vertical="center"/>
    </xf>
    <xf numFmtId="0" fontId="11" fillId="2" borderId="88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10" fontId="10" fillId="4" borderId="89" xfId="0" applyNumberFormat="1" applyFont="1" applyFill="1" applyBorder="1" applyAlignment="1">
      <alignment horizontal="center" vertical="top" wrapText="1"/>
    </xf>
    <xf numFmtId="4" fontId="10" fillId="4" borderId="90" xfId="0" applyNumberFormat="1" applyFont="1" applyFill="1" applyBorder="1" applyAlignment="1">
      <alignment horizontal="center" vertical="top" wrapText="1"/>
    </xf>
    <xf numFmtId="10" fontId="10" fillId="2" borderId="89" xfId="0" applyNumberFormat="1" applyFont="1" applyFill="1" applyBorder="1" applyAlignment="1">
      <alignment horizontal="center" vertical="top" wrapText="1"/>
    </xf>
    <xf numFmtId="4" fontId="10" fillId="2" borderId="90" xfId="0" applyNumberFormat="1" applyFont="1" applyFill="1" applyBorder="1" applyAlignment="1">
      <alignment horizontal="center" vertical="top" wrapText="1"/>
    </xf>
    <xf numFmtId="10" fontId="10" fillId="4" borderId="36" xfId="0" applyNumberFormat="1" applyFont="1" applyFill="1" applyBorder="1" applyAlignment="1">
      <alignment horizontal="center" vertical="top" wrapText="1"/>
    </xf>
    <xf numFmtId="10" fontId="8" fillId="3" borderId="93" xfId="0" applyNumberFormat="1" applyFont="1" applyFill="1" applyBorder="1" applyAlignment="1">
      <alignment horizontal="center" vertical="top" wrapText="1"/>
    </xf>
    <xf numFmtId="166" fontId="8" fillId="3" borderId="94" xfId="0" applyNumberFormat="1" applyFont="1" applyFill="1" applyBorder="1" applyAlignment="1">
      <alignment horizontal="center" vertical="top" wrapText="1"/>
    </xf>
    <xf numFmtId="0" fontId="0" fillId="2" borderId="30" xfId="0" applyFill="1" applyBorder="1"/>
    <xf numFmtId="0" fontId="0" fillId="2" borderId="22" xfId="0" applyFill="1" applyBorder="1"/>
    <xf numFmtId="0" fontId="11" fillId="2" borderId="30" xfId="0" applyFont="1" applyFill="1" applyBorder="1"/>
    <xf numFmtId="0" fontId="11" fillId="2" borderId="95" xfId="0" applyFont="1" applyFill="1" applyBorder="1" applyAlignment="1">
      <alignment wrapText="1"/>
    </xf>
    <xf numFmtId="0" fontId="11" fillId="2" borderId="95" xfId="0" applyFont="1" applyFill="1" applyBorder="1"/>
    <xf numFmtId="0" fontId="2" fillId="2" borderId="95" xfId="0" applyFont="1" applyFill="1" applyBorder="1" applyAlignment="1">
      <alignment vertical="center"/>
    </xf>
    <xf numFmtId="0" fontId="0" fillId="2" borderId="95" xfId="0" applyFill="1" applyBorder="1"/>
    <xf numFmtId="0" fontId="0" fillId="2" borderId="96" xfId="0" applyFill="1" applyBorder="1"/>
    <xf numFmtId="0" fontId="0" fillId="2" borderId="31" xfId="0" applyFill="1" applyBorder="1"/>
    <xf numFmtId="4" fontId="5" fillId="0" borderId="5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/>
    </xf>
    <xf numFmtId="10" fontId="10" fillId="4" borderId="38" xfId="0" applyNumberFormat="1" applyFont="1" applyFill="1" applyBorder="1" applyAlignment="1">
      <alignment horizontal="center" vertical="top" wrapText="1"/>
    </xf>
    <xf numFmtId="4" fontId="10" fillId="4" borderId="92" xfId="0" applyNumberFormat="1" applyFont="1" applyFill="1" applyBorder="1" applyAlignment="1">
      <alignment horizontal="center" vertical="top" wrapText="1"/>
    </xf>
    <xf numFmtId="4" fontId="10" fillId="4" borderId="91" xfId="0" applyNumberFormat="1" applyFont="1" applyFill="1" applyBorder="1" applyAlignment="1">
      <alignment horizontal="center" vertical="top" wrapText="1"/>
    </xf>
    <xf numFmtId="49" fontId="10" fillId="9" borderId="38" xfId="0" applyNumberFormat="1" applyFont="1" applyFill="1" applyBorder="1" applyAlignment="1">
      <alignment horizontal="center" vertical="top" wrapText="1"/>
    </xf>
    <xf numFmtId="10" fontId="10" fillId="9" borderId="42" xfId="0" applyNumberFormat="1" applyFont="1" applyFill="1" applyBorder="1" applyAlignment="1">
      <alignment horizontal="center" vertical="top" wrapText="1"/>
    </xf>
    <xf numFmtId="10" fontId="10" fillId="9" borderId="89" xfId="0" applyNumberFormat="1" applyFont="1" applyFill="1" applyBorder="1" applyAlignment="1">
      <alignment horizontal="center" vertical="top" wrapText="1"/>
    </xf>
    <xf numFmtId="4" fontId="10" fillId="9" borderId="38" xfId="0" applyNumberFormat="1" applyFont="1" applyFill="1" applyBorder="1" applyAlignment="1">
      <alignment horizontal="center" vertical="top" wrapText="1"/>
    </xf>
    <xf numFmtId="4" fontId="10" fillId="9" borderId="90" xfId="0" applyNumberFormat="1" applyFont="1" applyFill="1" applyBorder="1" applyAlignment="1">
      <alignment horizontal="center" vertical="top" wrapText="1"/>
    </xf>
    <xf numFmtId="44" fontId="0" fillId="2" borderId="0" xfId="4" applyFont="1" applyFill="1"/>
    <xf numFmtId="44" fontId="0" fillId="2" borderId="0" xfId="0" applyNumberFormat="1" applyFill="1"/>
    <xf numFmtId="10" fontId="5" fillId="0" borderId="0" xfId="1" applyNumberFormat="1" applyFont="1" applyAlignment="1">
      <alignment horizontal="center" vertical="top"/>
    </xf>
    <xf numFmtId="164" fontId="4" fillId="0" borderId="0" xfId="2" applyFont="1"/>
    <xf numFmtId="0" fontId="22" fillId="0" borderId="8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14" fontId="22" fillId="0" borderId="24" xfId="0" applyNumberFormat="1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48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6" fillId="5" borderId="52" xfId="0" applyFont="1" applyFill="1" applyBorder="1" applyAlignment="1">
      <alignment horizontal="center" vertical="center" wrapText="1"/>
    </xf>
    <xf numFmtId="0" fontId="26" fillId="5" borderId="27" xfId="0" applyFont="1" applyFill="1" applyBorder="1" applyAlignment="1">
      <alignment horizontal="center" vertical="center" wrapText="1"/>
    </xf>
    <xf numFmtId="49" fontId="26" fillId="5" borderId="27" xfId="0" applyNumberFormat="1" applyFont="1" applyFill="1" applyBorder="1" applyAlignment="1">
      <alignment horizontal="center" vertical="center" wrapText="1"/>
    </xf>
    <xf numFmtId="0" fontId="26" fillId="5" borderId="27" xfId="0" applyFont="1" applyFill="1" applyBorder="1" applyAlignment="1">
      <alignment horizontal="left" vertical="center" wrapText="1"/>
    </xf>
    <xf numFmtId="2" fontId="26" fillId="5" borderId="27" xfId="2" applyNumberFormat="1" applyFont="1" applyFill="1" applyBorder="1" applyAlignment="1">
      <alignment horizontal="center" vertical="center" wrapText="1"/>
    </xf>
    <xf numFmtId="4" fontId="26" fillId="5" borderId="27" xfId="0" applyNumberFormat="1" applyFont="1" applyFill="1" applyBorder="1" applyAlignment="1">
      <alignment horizontal="center" vertical="center" wrapText="1"/>
    </xf>
    <xf numFmtId="165" fontId="26" fillId="5" borderId="53" xfId="0" applyNumberFormat="1" applyFont="1" applyFill="1" applyBorder="1" applyAlignment="1">
      <alignment horizontal="center" vertical="center"/>
    </xf>
    <xf numFmtId="0" fontId="23" fillId="0" borderId="51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49" fontId="23" fillId="0" borderId="13" xfId="0" applyNumberFormat="1" applyFont="1" applyBorder="1" applyAlignment="1">
      <alignment horizontal="center" vertical="center" wrapText="1"/>
    </xf>
    <xf numFmtId="0" fontId="23" fillId="0" borderId="13" xfId="0" applyFont="1" applyBorder="1" applyAlignment="1">
      <alignment horizontal="left" vertical="center" wrapText="1"/>
    </xf>
    <xf numFmtId="2" fontId="23" fillId="0" borderId="13" xfId="2" applyNumberFormat="1" applyFont="1" applyFill="1" applyBorder="1" applyAlignment="1">
      <alignment horizontal="center" vertical="center" wrapText="1"/>
    </xf>
    <xf numFmtId="4" fontId="27" fillId="0" borderId="13" xfId="2" applyNumberFormat="1" applyFont="1" applyBorder="1" applyAlignment="1">
      <alignment horizontal="center" vertical="center"/>
    </xf>
    <xf numFmtId="4" fontId="27" fillId="2" borderId="13" xfId="0" applyNumberFormat="1" applyFont="1" applyFill="1" applyBorder="1" applyAlignment="1">
      <alignment horizontal="center" vertical="center" wrapText="1"/>
    </xf>
    <xf numFmtId="165" fontId="27" fillId="0" borderId="13" xfId="0" applyNumberFormat="1" applyFont="1" applyBorder="1" applyAlignment="1">
      <alignment horizontal="center" vertical="center" wrapText="1"/>
    </xf>
    <xf numFmtId="165" fontId="27" fillId="0" borderId="49" xfId="0" applyNumberFormat="1" applyFont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49" fontId="22" fillId="5" borderId="5" xfId="0" applyNumberFormat="1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left" vertical="center" wrapText="1"/>
    </xf>
    <xf numFmtId="2" fontId="22" fillId="5" borderId="5" xfId="2" applyNumberFormat="1" applyFont="1" applyFill="1" applyBorder="1" applyAlignment="1">
      <alignment horizontal="center" vertical="center" wrapText="1"/>
    </xf>
    <xf numFmtId="4" fontId="26" fillId="5" borderId="5" xfId="2" applyNumberFormat="1" applyFont="1" applyFill="1" applyBorder="1" applyAlignment="1">
      <alignment horizontal="center" vertical="center"/>
    </xf>
    <xf numFmtId="4" fontId="22" fillId="5" borderId="5" xfId="0" applyNumberFormat="1" applyFont="1" applyFill="1" applyBorder="1" applyAlignment="1">
      <alignment horizontal="center" vertical="center" wrapText="1"/>
    </xf>
    <xf numFmtId="4" fontId="26" fillId="5" borderId="5" xfId="0" applyNumberFormat="1" applyFont="1" applyFill="1" applyBorder="1" applyAlignment="1">
      <alignment horizontal="center" vertical="center" wrapText="1"/>
    </xf>
    <xf numFmtId="165" fontId="26" fillId="5" borderId="4" xfId="0" applyNumberFormat="1" applyFont="1" applyFill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49" fontId="27" fillId="0" borderId="13" xfId="0" applyNumberFormat="1" applyFont="1" applyBorder="1" applyAlignment="1">
      <alignment horizontal="center" vertical="center" wrapText="1"/>
    </xf>
    <xf numFmtId="0" fontId="27" fillId="0" borderId="13" xfId="0" applyFont="1" applyBorder="1" applyAlignment="1">
      <alignment horizontal="left" vertical="center" wrapText="1"/>
    </xf>
    <xf numFmtId="2" fontId="27" fillId="0" borderId="13" xfId="2" applyNumberFormat="1" applyFont="1" applyFill="1" applyBorder="1" applyAlignment="1">
      <alignment horizontal="center" vertical="center" wrapText="1"/>
    </xf>
    <xf numFmtId="4" fontId="27" fillId="0" borderId="13" xfId="0" applyNumberFormat="1" applyFont="1" applyBorder="1" applyAlignment="1">
      <alignment horizontal="center" vertical="center"/>
    </xf>
    <xf numFmtId="4" fontId="27" fillId="0" borderId="13" xfId="0" applyNumberFormat="1" applyFont="1" applyBorder="1" applyAlignment="1">
      <alignment vertical="center" wrapText="1"/>
    </xf>
    <xf numFmtId="4" fontId="27" fillId="0" borderId="13" xfId="0" applyNumberFormat="1" applyFont="1" applyBorder="1" applyAlignment="1">
      <alignment horizontal="left" vertical="center" wrapText="1"/>
    </xf>
    <xf numFmtId="4" fontId="27" fillId="0" borderId="13" xfId="0" applyNumberFormat="1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4" fontId="27" fillId="0" borderId="45" xfId="0" applyNumberFormat="1" applyFont="1" applyBorder="1" applyAlignment="1">
      <alignment vertical="center" wrapText="1"/>
    </xf>
    <xf numFmtId="4" fontId="27" fillId="0" borderId="45" xfId="0" applyNumberFormat="1" applyFont="1" applyBorder="1" applyAlignment="1">
      <alignment horizontal="center" vertical="center"/>
    </xf>
    <xf numFmtId="165" fontId="26" fillId="5" borderId="9" xfId="0" applyNumberFormat="1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49" fontId="27" fillId="2" borderId="13" xfId="0" applyNumberFormat="1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left" vertical="center" wrapText="1"/>
    </xf>
    <xf numFmtId="165" fontId="25" fillId="0" borderId="45" xfId="2" applyNumberFormat="1" applyFont="1" applyBorder="1" applyAlignment="1">
      <alignment horizontal="center" vertical="center"/>
    </xf>
    <xf numFmtId="0" fontId="20" fillId="2" borderId="0" xfId="8" applyFill="1" applyBorder="1"/>
    <xf numFmtId="0" fontId="19" fillId="2" borderId="0" xfId="7" applyFill="1" applyBorder="1"/>
    <xf numFmtId="0" fontId="18" fillId="2" borderId="0" xfId="6" applyFill="1" applyBorder="1"/>
    <xf numFmtId="0" fontId="17" fillId="2" borderId="0" xfId="5" applyFill="1" applyBorder="1"/>
    <xf numFmtId="44" fontId="4" fillId="2" borderId="0" xfId="3" applyFont="1" applyFill="1" applyBorder="1"/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7" fillId="0" borderId="19" xfId="0" applyFont="1" applyBorder="1" applyAlignment="1">
      <alignment horizontal="left" vertical="center" wrapText="1"/>
    </xf>
    <xf numFmtId="165" fontId="4" fillId="0" borderId="0" xfId="0" applyNumberFormat="1" applyFont="1" applyAlignment="1">
      <alignment horizontal="left" vertical="center"/>
    </xf>
    <xf numFmtId="0" fontId="23" fillId="0" borderId="19" xfId="0" applyFont="1" applyBorder="1" applyAlignment="1">
      <alignment horizontal="left" vertical="center" wrapText="1"/>
    </xf>
    <xf numFmtId="10" fontId="16" fillId="4" borderId="42" xfId="0" applyNumberFormat="1" applyFont="1" applyFill="1" applyBorder="1" applyAlignment="1">
      <alignment horizontal="center" vertical="top" wrapText="1"/>
    </xf>
    <xf numFmtId="4" fontId="16" fillId="4" borderId="38" xfId="0" applyNumberFormat="1" applyFont="1" applyFill="1" applyBorder="1" applyAlignment="1">
      <alignment horizontal="center" vertical="top" wrapText="1"/>
    </xf>
    <xf numFmtId="10" fontId="16" fillId="9" borderId="42" xfId="0" applyNumberFormat="1" applyFont="1" applyFill="1" applyBorder="1" applyAlignment="1">
      <alignment horizontal="center" vertical="top" wrapText="1"/>
    </xf>
    <xf numFmtId="10" fontId="16" fillId="9" borderId="42" xfId="0" quotePrefix="1" applyNumberFormat="1" applyFont="1" applyFill="1" applyBorder="1" applyAlignment="1">
      <alignment horizontal="center" vertical="top" wrapText="1"/>
    </xf>
    <xf numFmtId="4" fontId="16" fillId="9" borderId="38" xfId="0" applyNumberFormat="1" applyFont="1" applyFill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0" fontId="2" fillId="0" borderId="33" xfId="0" applyFont="1" applyBorder="1"/>
    <xf numFmtId="0" fontId="2" fillId="0" borderId="26" xfId="0" applyFont="1" applyBorder="1" applyAlignment="1">
      <alignment horizontal="center"/>
    </xf>
    <xf numFmtId="0" fontId="2" fillId="0" borderId="0" xfId="0" applyFont="1"/>
    <xf numFmtId="0" fontId="2" fillId="0" borderId="95" xfId="0" applyFont="1" applyBorder="1"/>
    <xf numFmtId="0" fontId="9" fillId="0" borderId="33" xfId="0" applyFont="1" applyBorder="1"/>
    <xf numFmtId="0" fontId="9" fillId="0" borderId="0" xfId="0" applyFont="1"/>
    <xf numFmtId="0" fontId="30" fillId="0" borderId="0" xfId="0" applyFont="1"/>
    <xf numFmtId="0" fontId="9" fillId="0" borderId="95" xfId="0" applyFont="1" applyBorder="1"/>
    <xf numFmtId="0" fontId="9" fillId="0" borderId="10" xfId="0" applyFont="1" applyBorder="1"/>
    <xf numFmtId="0" fontId="9" fillId="0" borderId="26" xfId="0" applyFont="1" applyBorder="1"/>
    <xf numFmtId="0" fontId="9" fillId="0" borderId="12" xfId="0" applyFont="1" applyBorder="1"/>
    <xf numFmtId="0" fontId="34" fillId="7" borderId="63" xfId="0" applyFont="1" applyFill="1" applyBorder="1" applyAlignment="1">
      <alignment horizontal="center" vertical="center" wrapText="1"/>
    </xf>
    <xf numFmtId="0" fontId="35" fillId="7" borderId="64" xfId="0" applyFont="1" applyFill="1" applyBorder="1" applyAlignment="1">
      <alignment horizontal="center" vertical="center" wrapText="1"/>
    </xf>
    <xf numFmtId="0" fontId="35" fillId="7" borderId="65" xfId="0" applyFont="1" applyFill="1" applyBorder="1" applyAlignment="1">
      <alignment horizontal="center" vertical="center" wrapText="1"/>
    </xf>
    <xf numFmtId="0" fontId="34" fillId="7" borderId="65" xfId="0" applyFont="1" applyFill="1" applyBorder="1" applyAlignment="1">
      <alignment horizontal="center" vertical="center" wrapText="1"/>
    </xf>
    <xf numFmtId="0" fontId="2" fillId="0" borderId="62" xfId="0" applyFont="1" applyBorder="1" applyAlignment="1">
      <alignment horizontal="left" vertical="center" wrapText="1"/>
    </xf>
    <xf numFmtId="0" fontId="13" fillId="0" borderId="61" xfId="0" applyFont="1" applyBorder="1" applyAlignment="1">
      <alignment horizontal="center" vertical="center"/>
    </xf>
    <xf numFmtId="9" fontId="2" fillId="0" borderId="62" xfId="0" applyNumberFormat="1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10" fontId="2" fillId="0" borderId="62" xfId="0" applyNumberFormat="1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10" fontId="13" fillId="0" borderId="62" xfId="0" applyNumberFormat="1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10" fontId="2" fillId="8" borderId="62" xfId="0" applyNumberFormat="1" applyFont="1" applyFill="1" applyBorder="1" applyAlignment="1">
      <alignment horizontal="center" vertical="center"/>
    </xf>
    <xf numFmtId="0" fontId="2" fillId="8" borderId="62" xfId="0" applyFont="1" applyFill="1" applyBorder="1" applyAlignment="1">
      <alignment horizontal="center" vertical="center"/>
    </xf>
    <xf numFmtId="10" fontId="38" fillId="0" borderId="62" xfId="0" applyNumberFormat="1" applyFont="1" applyBorder="1" applyAlignment="1">
      <alignment horizontal="center" vertical="center"/>
    </xf>
    <xf numFmtId="10" fontId="26" fillId="2" borderId="7" xfId="1" applyNumberFormat="1" applyFont="1" applyFill="1" applyBorder="1" applyAlignment="1">
      <alignment horizontal="center" vertical="center"/>
    </xf>
    <xf numFmtId="10" fontId="26" fillId="2" borderId="47" xfId="1" applyNumberFormat="1" applyFont="1" applyFill="1" applyBorder="1" applyAlignment="1">
      <alignment horizontal="center" vertical="center"/>
    </xf>
    <xf numFmtId="167" fontId="26" fillId="0" borderId="50" xfId="0" applyNumberFormat="1" applyFont="1" applyBorder="1" applyAlignment="1">
      <alignment horizontal="center" vertical="center"/>
    </xf>
    <xf numFmtId="0" fontId="32" fillId="0" borderId="0" xfId="0" applyFont="1"/>
    <xf numFmtId="165" fontId="27" fillId="14" borderId="45" xfId="2" applyNumberFormat="1" applyFont="1" applyFill="1" applyBorder="1" applyAlignment="1">
      <alignment horizontal="center" vertical="center"/>
    </xf>
    <xf numFmtId="2" fontId="4" fillId="0" borderId="0" xfId="0" applyNumberFormat="1" applyFont="1"/>
    <xf numFmtId="4" fontId="27" fillId="2" borderId="13" xfId="2" applyNumberFormat="1" applyFont="1" applyFill="1" applyBorder="1" applyAlignment="1">
      <alignment horizontal="center" vertical="center"/>
    </xf>
    <xf numFmtId="165" fontId="27" fillId="2" borderId="13" xfId="2" applyNumberFormat="1" applyFont="1" applyFill="1" applyBorder="1" applyAlignment="1">
      <alignment horizontal="center" vertical="center"/>
    </xf>
    <xf numFmtId="165" fontId="27" fillId="2" borderId="13" xfId="0" applyNumberFormat="1" applyFont="1" applyFill="1" applyBorder="1" applyAlignment="1">
      <alignment horizontal="center" vertical="center" wrapText="1"/>
    </xf>
    <xf numFmtId="10" fontId="9" fillId="4" borderId="42" xfId="0" applyNumberFormat="1" applyFont="1" applyFill="1" applyBorder="1" applyAlignment="1">
      <alignment horizontal="center" vertical="top" wrapText="1"/>
    </xf>
    <xf numFmtId="4" fontId="9" fillId="4" borderId="38" xfId="0" applyNumberFormat="1" applyFont="1" applyFill="1" applyBorder="1" applyAlignment="1">
      <alignment horizontal="center" vertical="top" wrapText="1"/>
    </xf>
    <xf numFmtId="10" fontId="9" fillId="2" borderId="42" xfId="0" applyNumberFormat="1" applyFont="1" applyFill="1" applyBorder="1" applyAlignment="1">
      <alignment horizontal="center" vertical="top" wrapText="1"/>
    </xf>
    <xf numFmtId="4" fontId="9" fillId="2" borderId="38" xfId="0" applyNumberFormat="1" applyFont="1" applyFill="1" applyBorder="1" applyAlignment="1">
      <alignment horizontal="center" vertical="top" wrapText="1"/>
    </xf>
    <xf numFmtId="0" fontId="1" fillId="0" borderId="0" xfId="9"/>
    <xf numFmtId="0" fontId="3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4" fontId="3" fillId="0" borderId="0" xfId="0" applyNumberFormat="1" applyFont="1" applyAlignment="1">
      <alignment horizontal="center" vertical="center" wrapText="1"/>
    </xf>
    <xf numFmtId="4" fontId="9" fillId="0" borderId="0" xfId="2" applyNumberFormat="1" applyFont="1" applyBorder="1" applyAlignment="1">
      <alignment horizontal="center" vertical="center"/>
    </xf>
    <xf numFmtId="4" fontId="9" fillId="0" borderId="0" xfId="2" applyNumberFormat="1" applyFont="1" applyBorder="1" applyAlignment="1">
      <alignment horizontal="center" vertical="center" wrapText="1"/>
    </xf>
    <xf numFmtId="4" fontId="9" fillId="0" borderId="30" xfId="2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6" fillId="0" borderId="95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33" xfId="0" applyFont="1" applyBorder="1" applyAlignment="1">
      <alignment horizontal="center"/>
    </xf>
    <xf numFmtId="0" fontId="13" fillId="0" borderId="88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9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95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9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0" fontId="21" fillId="0" borderId="0" xfId="0" applyFont="1" applyAlignment="1">
      <alignment horizontal="center"/>
    </xf>
    <xf numFmtId="0" fontId="36" fillId="8" borderId="68" xfId="0" applyFont="1" applyFill="1" applyBorder="1" applyAlignment="1">
      <alignment horizontal="justify" vertical="center" wrapText="1"/>
    </xf>
    <xf numFmtId="0" fontId="36" fillId="8" borderId="0" xfId="0" applyFont="1" applyFill="1" applyAlignment="1">
      <alignment horizontal="justify" vertical="center" wrapText="1"/>
    </xf>
    <xf numFmtId="0" fontId="36" fillId="8" borderId="69" xfId="0" applyFont="1" applyFill="1" applyBorder="1" applyAlignment="1">
      <alignment horizontal="justify" vertical="center" wrapText="1"/>
    </xf>
    <xf numFmtId="0" fontId="36" fillId="8" borderId="70" xfId="0" applyFont="1" applyFill="1" applyBorder="1" applyAlignment="1">
      <alignment horizontal="justify" vertical="center" wrapText="1"/>
    </xf>
    <xf numFmtId="0" fontId="39" fillId="0" borderId="67" xfId="0" applyFont="1" applyBorder="1" applyAlignment="1">
      <alignment horizontal="justify" vertical="center" wrapText="1"/>
    </xf>
    <xf numFmtId="0" fontId="39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0" borderId="0" xfId="0" applyFont="1" applyAlignment="1">
      <alignment horizontal="center"/>
    </xf>
    <xf numFmtId="0" fontId="2" fillId="0" borderId="60" xfId="0" applyFont="1" applyBorder="1" applyAlignment="1">
      <alignment horizontal="right" vertical="center"/>
    </xf>
    <xf numFmtId="0" fontId="2" fillId="0" borderId="83" xfId="0" applyFont="1" applyBorder="1" applyAlignment="1">
      <alignment horizontal="right" vertical="center"/>
    </xf>
    <xf numFmtId="0" fontId="13" fillId="0" borderId="63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8" borderId="66" xfId="0" applyFont="1" applyFill="1" applyBorder="1" applyAlignment="1">
      <alignment horizontal="center" vertical="center"/>
    </xf>
    <xf numFmtId="0" fontId="13" fillId="8" borderId="85" xfId="0" applyFont="1" applyFill="1" applyBorder="1" applyAlignment="1">
      <alignment horizontal="center" vertical="center"/>
    </xf>
    <xf numFmtId="0" fontId="13" fillId="8" borderId="69" xfId="0" applyFont="1" applyFill="1" applyBorder="1" applyAlignment="1">
      <alignment horizontal="center" vertical="center"/>
    </xf>
    <xf numFmtId="0" fontId="13" fillId="8" borderId="86" xfId="0" applyFont="1" applyFill="1" applyBorder="1" applyAlignment="1">
      <alignment horizontal="center" vertical="center"/>
    </xf>
    <xf numFmtId="10" fontId="13" fillId="8" borderId="63" xfId="0" applyNumberFormat="1" applyFont="1" applyFill="1" applyBorder="1" applyAlignment="1">
      <alignment horizontal="center" vertical="center"/>
    </xf>
    <xf numFmtId="10" fontId="13" fillId="8" borderId="84" xfId="0" applyNumberFormat="1" applyFont="1" applyFill="1" applyBorder="1" applyAlignment="1">
      <alignment horizontal="center" vertical="center"/>
    </xf>
    <xf numFmtId="0" fontId="13" fillId="6" borderId="60" xfId="0" applyFont="1" applyFill="1" applyBorder="1" applyAlignment="1">
      <alignment horizontal="center" vertical="center"/>
    </xf>
    <xf numFmtId="0" fontId="13" fillId="6" borderId="61" xfId="0" applyFont="1" applyFill="1" applyBorder="1" applyAlignment="1">
      <alignment horizontal="center" vertical="center"/>
    </xf>
    <xf numFmtId="0" fontId="36" fillId="8" borderId="66" xfId="0" applyFont="1" applyFill="1" applyBorder="1" applyAlignment="1">
      <alignment horizontal="justify" vertical="center" wrapText="1"/>
    </xf>
    <xf numFmtId="0" fontId="36" fillId="8" borderId="67" xfId="0" applyFont="1" applyFill="1" applyBorder="1" applyAlignment="1">
      <alignment horizontal="justify" vertical="center" wrapText="1"/>
    </xf>
    <xf numFmtId="9" fontId="34" fillId="7" borderId="63" xfId="0" applyNumberFormat="1" applyFont="1" applyFill="1" applyBorder="1" applyAlignment="1">
      <alignment horizontal="center" vertical="center" wrapText="1"/>
    </xf>
    <xf numFmtId="9" fontId="34" fillId="7" borderId="64" xfId="0" applyNumberFormat="1" applyFont="1" applyFill="1" applyBorder="1" applyAlignment="1">
      <alignment horizontal="center" vertical="center" wrapText="1"/>
    </xf>
    <xf numFmtId="9" fontId="34" fillId="7" borderId="65" xfId="0" applyNumberFormat="1" applyFont="1" applyFill="1" applyBorder="1" applyAlignment="1">
      <alignment horizontal="center" vertical="center" wrapText="1"/>
    </xf>
    <xf numFmtId="0" fontId="2" fillId="0" borderId="69" xfId="0" applyFont="1" applyBorder="1" applyAlignment="1">
      <alignment horizontal="left" vertical="center"/>
    </xf>
    <xf numFmtId="0" fontId="2" fillId="0" borderId="70" xfId="0" applyFont="1" applyBorder="1" applyAlignment="1">
      <alignment horizontal="left" vertical="center"/>
    </xf>
    <xf numFmtId="0" fontId="13" fillId="0" borderId="66" xfId="0" applyFont="1" applyBorder="1" applyAlignment="1">
      <alignment horizontal="center" vertical="center"/>
    </xf>
    <xf numFmtId="0" fontId="13" fillId="0" borderId="79" xfId="0" applyFont="1" applyBorder="1" applyAlignment="1">
      <alignment horizontal="center" vertical="center"/>
    </xf>
    <xf numFmtId="0" fontId="13" fillId="0" borderId="69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/>
    </xf>
    <xf numFmtId="0" fontId="37" fillId="6" borderId="66" xfId="0" applyFont="1" applyFill="1" applyBorder="1" applyAlignment="1">
      <alignment horizontal="center" vertical="center"/>
    </xf>
    <xf numFmtId="0" fontId="37" fillId="6" borderId="67" xfId="0" applyFont="1" applyFill="1" applyBorder="1" applyAlignment="1">
      <alignment horizontal="center" vertical="center"/>
    </xf>
    <xf numFmtId="0" fontId="13" fillId="6" borderId="81" xfId="0" applyFont="1" applyFill="1" applyBorder="1" applyAlignment="1">
      <alignment horizontal="center" vertical="center"/>
    </xf>
    <xf numFmtId="0" fontId="13" fillId="6" borderId="82" xfId="0" applyFont="1" applyFill="1" applyBorder="1" applyAlignment="1">
      <alignment horizontal="center" vertical="center"/>
    </xf>
    <xf numFmtId="0" fontId="34" fillId="7" borderId="63" xfId="0" applyFont="1" applyFill="1" applyBorder="1" applyAlignment="1">
      <alignment horizontal="center" vertical="center" wrapText="1"/>
    </xf>
    <xf numFmtId="0" fontId="34" fillId="7" borderId="64" xfId="0" applyFont="1" applyFill="1" applyBorder="1" applyAlignment="1">
      <alignment horizontal="center" vertical="center" wrapText="1"/>
    </xf>
    <xf numFmtId="0" fontId="34" fillId="7" borderId="65" xfId="0" applyFont="1" applyFill="1" applyBorder="1" applyAlignment="1">
      <alignment horizontal="center" vertical="center" wrapText="1"/>
    </xf>
    <xf numFmtId="0" fontId="34" fillId="7" borderId="73" xfId="0" applyFont="1" applyFill="1" applyBorder="1" applyAlignment="1">
      <alignment horizontal="center" vertical="center"/>
    </xf>
    <xf numFmtId="0" fontId="34" fillId="7" borderId="74" xfId="0" applyFont="1" applyFill="1" applyBorder="1" applyAlignment="1">
      <alignment horizontal="center" vertical="center"/>
    </xf>
    <xf numFmtId="0" fontId="34" fillId="7" borderId="75" xfId="0" applyFont="1" applyFill="1" applyBorder="1" applyAlignment="1">
      <alignment horizontal="center" vertical="center"/>
    </xf>
    <xf numFmtId="0" fontId="34" fillId="7" borderId="76" xfId="0" applyFont="1" applyFill="1" applyBorder="1" applyAlignment="1">
      <alignment horizontal="center" vertical="center"/>
    </xf>
    <xf numFmtId="0" fontId="34" fillId="7" borderId="72" xfId="0" applyFont="1" applyFill="1" applyBorder="1" applyAlignment="1">
      <alignment horizontal="center" vertical="center"/>
    </xf>
    <xf numFmtId="0" fontId="34" fillId="7" borderId="77" xfId="0" applyFont="1" applyFill="1" applyBorder="1" applyAlignment="1">
      <alignment horizontal="center" vertical="center"/>
    </xf>
    <xf numFmtId="0" fontId="34" fillId="7" borderId="71" xfId="0" applyFont="1" applyFill="1" applyBorder="1" applyAlignment="1">
      <alignment horizontal="center" vertical="center"/>
    </xf>
    <xf numFmtId="0" fontId="34" fillId="7" borderId="78" xfId="0" applyFont="1" applyFill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32" fillId="0" borderId="70" xfId="0" applyFont="1" applyBorder="1"/>
    <xf numFmtId="0" fontId="33" fillId="6" borderId="71" xfId="0" applyFont="1" applyFill="1" applyBorder="1" applyAlignment="1">
      <alignment horizontal="center" vertical="center" wrapText="1"/>
    </xf>
    <xf numFmtId="0" fontId="33" fillId="6" borderId="72" xfId="0" applyFont="1" applyFill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65" fontId="27" fillId="0" borderId="14" xfId="2" applyNumberFormat="1" applyFont="1" applyBorder="1" applyAlignment="1">
      <alignment horizontal="center" vertical="center"/>
    </xf>
    <xf numFmtId="165" fontId="27" fillId="0" borderId="5" xfId="2" applyNumberFormat="1" applyFont="1" applyBorder="1" applyAlignment="1">
      <alignment horizontal="center" vertical="center"/>
    </xf>
    <xf numFmtId="165" fontId="27" fillId="0" borderId="4" xfId="2" applyNumberFormat="1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5" borderId="20" xfId="0" applyFont="1" applyFill="1" applyBorder="1" applyAlignment="1">
      <alignment horizontal="center" vertical="center"/>
    </xf>
    <xf numFmtId="0" fontId="22" fillId="5" borderId="21" xfId="0" applyFont="1" applyFill="1" applyBorder="1" applyAlignment="1">
      <alignment horizontal="center" vertical="center"/>
    </xf>
    <xf numFmtId="0" fontId="22" fillId="5" borderId="22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wrapText="1"/>
    </xf>
    <xf numFmtId="0" fontId="10" fillId="0" borderId="22" xfId="0" applyFont="1" applyBorder="1" applyAlignment="1">
      <alignment horizontal="center" wrapText="1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22" fillId="0" borderId="15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2" fillId="0" borderId="18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26" fillId="0" borderId="25" xfId="0" applyFont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 wrapText="1"/>
    </xf>
    <xf numFmtId="0" fontId="26" fillId="0" borderId="18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2" fillId="5" borderId="8" xfId="0" applyFont="1" applyFill="1" applyBorder="1" applyAlignment="1">
      <alignment horizontal="right" vertical="center" wrapText="1"/>
    </xf>
    <xf numFmtId="0" fontId="22" fillId="5" borderId="6" xfId="0" applyFont="1" applyFill="1" applyBorder="1" applyAlignment="1">
      <alignment horizontal="right" vertical="center" wrapText="1"/>
    </xf>
    <xf numFmtId="4" fontId="7" fillId="0" borderId="13" xfId="2" applyNumberFormat="1" applyFont="1" applyBorder="1" applyAlignment="1">
      <alignment horizontal="center" vertical="center" wrapText="1"/>
    </xf>
    <xf numFmtId="4" fontId="9" fillId="0" borderId="13" xfId="2" applyNumberFormat="1" applyFont="1" applyBorder="1" applyAlignment="1">
      <alignment horizontal="center" vertical="center" wrapText="1"/>
    </xf>
    <xf numFmtId="4" fontId="9" fillId="0" borderId="49" xfId="2" applyNumberFormat="1" applyFont="1" applyBorder="1" applyAlignment="1">
      <alignment horizontal="center" vertical="center" wrapText="1"/>
    </xf>
    <xf numFmtId="4" fontId="9" fillId="0" borderId="13" xfId="2" applyNumberFormat="1" applyFont="1" applyBorder="1" applyAlignment="1">
      <alignment horizontal="center" vertical="center"/>
    </xf>
    <xf numFmtId="4" fontId="9" fillId="0" borderId="49" xfId="2" applyNumberFormat="1" applyFont="1" applyBorder="1" applyAlignment="1">
      <alignment horizontal="center" vertical="center"/>
    </xf>
    <xf numFmtId="4" fontId="7" fillId="0" borderId="14" xfId="2" applyNumberFormat="1" applyFont="1" applyBorder="1" applyAlignment="1">
      <alignment horizontal="center" vertical="center" wrapText="1"/>
    </xf>
    <xf numFmtId="4" fontId="7" fillId="0" borderId="5" xfId="2" applyNumberFormat="1" applyFont="1" applyBorder="1" applyAlignment="1">
      <alignment horizontal="center" vertical="center" wrapText="1"/>
    </xf>
    <xf numFmtId="4" fontId="7" fillId="0" borderId="4" xfId="2" applyNumberFormat="1" applyFont="1" applyBorder="1" applyAlignment="1">
      <alignment horizontal="center" vertical="center" wrapText="1"/>
    </xf>
    <xf numFmtId="4" fontId="2" fillId="5" borderId="14" xfId="0" applyNumberFormat="1" applyFont="1" applyFill="1" applyBorder="1" applyAlignment="1">
      <alignment horizontal="center" vertical="center" wrapText="1"/>
    </xf>
    <xf numFmtId="4" fontId="2" fillId="5" borderId="5" xfId="0" applyNumberFormat="1" applyFont="1" applyFill="1" applyBorder="1" applyAlignment="1">
      <alignment horizontal="center" vertical="center" wrapText="1"/>
    </xf>
    <xf numFmtId="4" fontId="2" fillId="5" borderId="4" xfId="0" applyNumberFormat="1" applyFont="1" applyFill="1" applyBorder="1" applyAlignment="1">
      <alignment horizontal="center" vertical="center" wrapText="1"/>
    </xf>
    <xf numFmtId="4" fontId="13" fillId="5" borderId="14" xfId="0" applyNumberFormat="1" applyFont="1" applyFill="1" applyBorder="1" applyAlignment="1">
      <alignment horizontal="center" vertical="center" wrapText="1"/>
    </xf>
    <xf numFmtId="4" fontId="13" fillId="5" borderId="5" xfId="0" applyNumberFormat="1" applyFont="1" applyFill="1" applyBorder="1" applyAlignment="1">
      <alignment horizontal="center" vertical="center" wrapText="1"/>
    </xf>
    <xf numFmtId="4" fontId="13" fillId="5" borderId="4" xfId="0" applyNumberFormat="1" applyFont="1" applyFill="1" applyBorder="1" applyAlignment="1">
      <alignment horizontal="center" vertical="center" wrapText="1"/>
    </xf>
    <xf numFmtId="0" fontId="6" fillId="0" borderId="5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5" fillId="3" borderId="5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49" xfId="0" applyFont="1" applyFill="1" applyBorder="1" applyAlignment="1">
      <alignment horizontal="center" vertical="center"/>
    </xf>
    <xf numFmtId="0" fontId="6" fillId="0" borderId="51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4" fontId="7" fillId="0" borderId="49" xfId="2" applyNumberFormat="1" applyFont="1" applyBorder="1" applyAlignment="1">
      <alignment horizontal="center" vertical="center" wrapText="1"/>
    </xf>
    <xf numFmtId="0" fontId="11" fillId="3" borderId="37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" fillId="9" borderId="39" xfId="0" applyFont="1" applyFill="1" applyBorder="1" applyAlignment="1">
      <alignment vertical="center" wrapText="1"/>
    </xf>
    <xf numFmtId="0" fontId="1" fillId="9" borderId="42" xfId="0" applyFont="1" applyFill="1" applyBorder="1" applyAlignment="1">
      <alignment vertical="center" wrapText="1"/>
    </xf>
    <xf numFmtId="0" fontId="0" fillId="9" borderId="97" xfId="0" applyFill="1" applyBorder="1" applyAlignment="1">
      <alignment horizontal="center" vertical="center" wrapText="1"/>
    </xf>
    <xf numFmtId="0" fontId="0" fillId="9" borderId="43" xfId="0" applyFill="1" applyBorder="1" applyAlignment="1">
      <alignment horizontal="center" vertical="center" wrapText="1"/>
    </xf>
    <xf numFmtId="0" fontId="0" fillId="9" borderId="39" xfId="0" applyFill="1" applyBorder="1" applyAlignment="1">
      <alignment vertical="center" wrapText="1"/>
    </xf>
    <xf numFmtId="0" fontId="0" fillId="9" borderId="42" xfId="0" applyFill="1" applyBorder="1" applyAlignment="1">
      <alignment vertical="center" wrapText="1"/>
    </xf>
    <xf numFmtId="0" fontId="0" fillId="2" borderId="38" xfId="0" applyFill="1" applyBorder="1" applyAlignment="1">
      <alignment vertical="center" wrapText="1"/>
    </xf>
    <xf numFmtId="0" fontId="0" fillId="4" borderId="97" xfId="0" applyFill="1" applyBorder="1" applyAlignment="1">
      <alignment horizontal="center" vertical="center" wrapText="1"/>
    </xf>
    <xf numFmtId="0" fontId="0" fillId="4" borderId="41" xfId="0" applyFill="1" applyBorder="1" applyAlignment="1">
      <alignment horizontal="center" vertical="center" wrapText="1"/>
    </xf>
    <xf numFmtId="0" fontId="0" fillId="4" borderId="39" xfId="0" applyFill="1" applyBorder="1" applyAlignment="1">
      <alignment vertical="center" wrapText="1"/>
    </xf>
    <xf numFmtId="0" fontId="0" fillId="4" borderId="40" xfId="0" applyFill="1" applyBorder="1" applyAlignment="1">
      <alignment vertical="center" wrapText="1"/>
    </xf>
    <xf numFmtId="0" fontId="11" fillId="2" borderId="59" xfId="0" applyFont="1" applyFill="1" applyBorder="1" applyAlignment="1">
      <alignment horizontal="left" vertical="center"/>
    </xf>
    <xf numFmtId="0" fontId="11" fillId="2" borderId="58" xfId="0" applyFont="1" applyFill="1" applyBorder="1" applyAlignment="1">
      <alignment horizontal="left" vertical="center"/>
    </xf>
    <xf numFmtId="0" fontId="11" fillId="2" borderId="57" xfId="0" applyFont="1" applyFill="1" applyBorder="1" applyAlignment="1">
      <alignment horizontal="left" vertical="center"/>
    </xf>
    <xf numFmtId="0" fontId="0" fillId="4" borderId="46" xfId="0" applyFill="1" applyBorder="1" applyAlignment="1">
      <alignment horizontal="center" vertical="center" wrapText="1"/>
    </xf>
    <xf numFmtId="0" fontId="0" fillId="4" borderId="43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87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left" vertical="center"/>
    </xf>
    <xf numFmtId="0" fontId="11" fillId="2" borderId="34" xfId="0" applyFont="1" applyFill="1" applyBorder="1" applyAlignment="1">
      <alignment horizontal="left" vertical="center"/>
    </xf>
    <xf numFmtId="0" fontId="0" fillId="4" borderId="45" xfId="0" applyFill="1" applyBorder="1" applyAlignment="1">
      <alignment vertical="center" wrapText="1"/>
    </xf>
    <xf numFmtId="0" fontId="0" fillId="4" borderId="42" xfId="0" applyFill="1" applyBorder="1" applyAlignment="1">
      <alignment vertical="center" wrapText="1"/>
    </xf>
    <xf numFmtId="0" fontId="11" fillId="2" borderId="1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0">
    <cellStyle name="Bom" xfId="5" builtinId="26"/>
    <cellStyle name="Cálculo" xfId="8" builtinId="22"/>
    <cellStyle name="Incorreto" xfId="6" builtinId="27"/>
    <cellStyle name="Moeda" xfId="4" builtinId="4"/>
    <cellStyle name="Moeda 2" xfId="3"/>
    <cellStyle name="Neutra" xfId="7" builtinId="28"/>
    <cellStyle name="Normal" xfId="0" builtinId="0"/>
    <cellStyle name="Normal 2" xfId="9"/>
    <cellStyle name="Porcentagem" xfId="1" builtinId="5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446353</xdr:colOff>
      <xdr:row>1</xdr:row>
      <xdr:rowOff>97448</xdr:rowOff>
    </xdr:from>
    <xdr:ext cx="3200400" cy="796693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6BFFC89E-FC2A-40C9-B670-2EE4492FC238}"/>
            </a:ext>
          </a:extLst>
        </xdr:cNvPr>
        <xdr:cNvSpPr txBox="1"/>
      </xdr:nvSpPr>
      <xdr:spPr>
        <a:xfrm>
          <a:off x="2275153" y="259373"/>
          <a:ext cx="3200400" cy="796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900" b="1"/>
            <a:t>GOVERNO DO ESTADO DE MINAS GERAIS</a:t>
          </a:r>
        </a:p>
        <a:p>
          <a:r>
            <a:rPr lang="pt-BR" sz="900"/>
            <a:t>Secretaria de Estado de Infraestrutura, Mobilidade e Parcerias</a:t>
          </a:r>
        </a:p>
        <a:p>
          <a:r>
            <a:rPr lang="pt-BR" sz="900"/>
            <a:t>Subsecretaria de Obras e Infraestrutura</a:t>
          </a:r>
        </a:p>
        <a:p>
          <a:r>
            <a:rPr lang="pt-BR" sz="900"/>
            <a:t>Superintendência de Apoio Técnico e Cooperação </a:t>
          </a:r>
        </a:p>
        <a:p>
          <a:r>
            <a:rPr lang="pt-BR" sz="900"/>
            <a:t>Diretoria de Projetos e Custos</a:t>
          </a:r>
        </a:p>
      </xdr:txBody>
    </xdr:sp>
    <xdr:clientData/>
  </xdr:oneCellAnchor>
  <xdr:twoCellAnchor>
    <xdr:from>
      <xdr:col>1</xdr:col>
      <xdr:colOff>476250</xdr:colOff>
      <xdr:row>1</xdr:row>
      <xdr:rowOff>85725</xdr:rowOff>
    </xdr:from>
    <xdr:to>
      <xdr:col>3</xdr:col>
      <xdr:colOff>114300</xdr:colOff>
      <xdr:row>6</xdr:row>
      <xdr:rowOff>85725</xdr:rowOff>
    </xdr:to>
    <xdr:pic>
      <xdr:nvPicPr>
        <xdr:cNvPr id="3" name="Imagem 7">
          <a:extLst>
            <a:ext uri="{FF2B5EF4-FFF2-40B4-BE49-F238E27FC236}">
              <a16:creationId xmlns:a16="http://schemas.microsoft.com/office/drawing/2014/main" id="{67E7E0AE-8287-4926-8506-C09477C1A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247650"/>
          <a:ext cx="8572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99391</xdr:colOff>
      <xdr:row>8</xdr:row>
      <xdr:rowOff>115958</xdr:rowOff>
    </xdr:from>
    <xdr:to>
      <xdr:col>14</xdr:col>
      <xdr:colOff>736844</xdr:colOff>
      <xdr:row>38</xdr:row>
      <xdr:rowOff>16566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8E647D-26E5-0514-B4E1-5FE6AC97A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348" y="1441175"/>
          <a:ext cx="8066953" cy="4870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22860</xdr:rowOff>
    </xdr:from>
    <xdr:to>
      <xdr:col>14</xdr:col>
      <xdr:colOff>601980</xdr:colOff>
      <xdr:row>34</xdr:row>
      <xdr:rowOff>71586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B47D2F4-60D9-4AF7-87D9-C5377EF95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9136380" cy="55808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5273</xdr:colOff>
      <xdr:row>6</xdr:row>
      <xdr:rowOff>6817</xdr:rowOff>
    </xdr:from>
    <xdr:to>
      <xdr:col>6</xdr:col>
      <xdr:colOff>6006</xdr:colOff>
      <xdr:row>27</xdr:row>
      <xdr:rowOff>153356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00898" y="2007067"/>
          <a:ext cx="448408" cy="4604239"/>
        </a:xfrm>
        <a:prstGeom prst="rect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5861</xdr:colOff>
      <xdr:row>6</xdr:row>
      <xdr:rowOff>5861</xdr:rowOff>
    </xdr:from>
    <xdr:to>
      <xdr:col>7</xdr:col>
      <xdr:colOff>0</xdr:colOff>
      <xdr:row>27</xdr:row>
      <xdr:rowOff>152400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182207" y="3398226"/>
          <a:ext cx="983274" cy="4154366"/>
        </a:xfrm>
        <a:prstGeom prst="rect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1049703</xdr:colOff>
      <xdr:row>0</xdr:row>
      <xdr:rowOff>203899</xdr:rowOff>
    </xdr:from>
    <xdr:to>
      <xdr:col>5</xdr:col>
      <xdr:colOff>205740</xdr:colOff>
      <xdr:row>0</xdr:row>
      <xdr:rowOff>849087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049703" y="203899"/>
          <a:ext cx="2333577" cy="64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pt-BR" sz="1000" b="1">
              <a:effectLst/>
              <a:latin typeface="+mn-lt"/>
              <a:ea typeface="+mn-ea"/>
              <a:cs typeface="+mn-cs"/>
            </a:rPr>
            <a:t>PREFEITURA</a:t>
          </a:r>
          <a:r>
            <a:rPr lang="pt-BR" sz="1000" b="1" baseline="0">
              <a:effectLst/>
              <a:latin typeface="+mn-lt"/>
              <a:ea typeface="+mn-ea"/>
              <a:cs typeface="+mn-cs"/>
            </a:rPr>
            <a:t> MUNICIPAL DE PINTÓPOLIS </a:t>
          </a:r>
        </a:p>
        <a:p>
          <a:r>
            <a:rPr lang="pt-BR" sz="10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Estado de Minas Gerais</a:t>
          </a:r>
        </a:p>
        <a:p>
          <a:r>
            <a:rPr lang="pt-BR" sz="10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Av. JK, n.º 402, centro, Pintópolis MG</a:t>
          </a:r>
          <a:endParaRPr lang="pt-BR" sz="1000" b="0" i="0" u="none" strike="noStrike" baseline="0">
            <a:solidFill>
              <a:sysClr val="windowText" lastClr="000000"/>
            </a:solidFill>
            <a:effectLst/>
            <a:latin typeface="+mn-lt"/>
            <a:ea typeface="+mn-ea"/>
            <a:cs typeface="Arial"/>
          </a:endParaRPr>
        </a:p>
        <a:p>
          <a:endParaRPr lang="pt-BR">
            <a:effectLst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133350</xdr:colOff>
          <xdr:row>0</xdr:row>
          <xdr:rowOff>142875</xdr:rowOff>
        </xdr:from>
        <xdr:to>
          <xdr:col>0</xdr:col>
          <xdr:colOff>1009650</xdr:colOff>
          <xdr:row>0</xdr:row>
          <xdr:rowOff>847725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A9E1B059-8862-7B64-DC37-370C5E5A21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57</xdr:row>
      <xdr:rowOff>114300</xdr:rowOff>
    </xdr:from>
    <xdr:to>
      <xdr:col>9</xdr:col>
      <xdr:colOff>0</xdr:colOff>
      <xdr:row>58</xdr:row>
      <xdr:rowOff>161925</xdr:rowOff>
    </xdr:to>
    <xdr:sp macro="" textlink="">
      <xdr:nvSpPr>
        <xdr:cNvPr id="4098" name="Text Box 7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SpPr txBox="1">
          <a:spLocks noChangeArrowheads="1"/>
        </xdr:cNvSpPr>
      </xdr:nvSpPr>
      <xdr:spPr bwMode="auto">
        <a:xfrm>
          <a:off x="47625" y="10963275"/>
          <a:ext cx="81153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t-BR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133350</xdr:colOff>
          <xdr:row>0</xdr:row>
          <xdr:rowOff>142875</xdr:rowOff>
        </xdr:from>
        <xdr:to>
          <xdr:col>2</xdr:col>
          <xdr:colOff>9525</xdr:colOff>
          <xdr:row>0</xdr:row>
          <xdr:rowOff>1057275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61DE4555-58FB-6969-3311-7F97802BA8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268939</xdr:colOff>
      <xdr:row>0</xdr:row>
      <xdr:rowOff>259981</xdr:rowOff>
    </xdr:from>
    <xdr:to>
      <xdr:col>3</xdr:col>
      <xdr:colOff>2241176</xdr:colOff>
      <xdr:row>0</xdr:row>
      <xdr:rowOff>968190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58DCDA4B-D42E-4D44-B79C-CC5D2AC2EA15}"/>
            </a:ext>
          </a:extLst>
        </xdr:cNvPr>
        <xdr:cNvSpPr txBox="1">
          <a:spLocks noChangeArrowheads="1"/>
        </xdr:cNvSpPr>
      </xdr:nvSpPr>
      <xdr:spPr bwMode="auto">
        <a:xfrm>
          <a:off x="1532963" y="259981"/>
          <a:ext cx="2707342" cy="708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pt-BR" sz="1200" b="1">
              <a:effectLst/>
              <a:latin typeface="+mn-lt"/>
              <a:ea typeface="+mn-ea"/>
              <a:cs typeface="+mn-cs"/>
            </a:rPr>
            <a:t>PREFEITURA</a:t>
          </a:r>
          <a:r>
            <a:rPr lang="pt-BR" sz="1200" b="1" baseline="0">
              <a:effectLst/>
              <a:latin typeface="+mn-lt"/>
              <a:ea typeface="+mn-ea"/>
              <a:cs typeface="+mn-cs"/>
            </a:rPr>
            <a:t> MUNICIPAL DE PINTÓPOLIS </a:t>
          </a:r>
        </a:p>
        <a:p>
          <a:r>
            <a:rPr lang="pt-BR" sz="12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Estado de Minas Gerais</a:t>
          </a:r>
        </a:p>
        <a:p>
          <a:r>
            <a:rPr lang="pt-BR" sz="12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Av. JK, n.º 402, centro, Pintópolis MG</a:t>
          </a:r>
          <a:endParaRPr lang="pt-BR" sz="1200" b="0" i="0" u="none" strike="noStrike" baseline="0">
            <a:solidFill>
              <a:sysClr val="windowText" lastClr="000000"/>
            </a:solidFill>
            <a:effectLst/>
            <a:latin typeface="+mn-lt"/>
            <a:ea typeface="+mn-ea"/>
            <a:cs typeface="Arial"/>
          </a:endParaRPr>
        </a:p>
        <a:p>
          <a:endParaRPr lang="pt-BR">
            <a:effectLst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48</xdr:row>
      <xdr:rowOff>0</xdr:rowOff>
    </xdr:from>
    <xdr:to>
      <xdr:col>9</xdr:col>
      <xdr:colOff>0</xdr:colOff>
      <xdr:row>48</xdr:row>
      <xdr:rowOff>161925</xdr:rowOff>
    </xdr:to>
    <xdr:sp macro="" textlink="">
      <xdr:nvSpPr>
        <xdr:cNvPr id="2" name="Text Box 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7625" y="13173075"/>
          <a:ext cx="98202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t-BR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133350</xdr:colOff>
          <xdr:row>0</xdr:row>
          <xdr:rowOff>200025</xdr:rowOff>
        </xdr:from>
        <xdr:to>
          <xdr:col>2</xdr:col>
          <xdr:colOff>9525</xdr:colOff>
          <xdr:row>0</xdr:row>
          <xdr:rowOff>1114425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DB781B55-FE1B-F8E5-DFBC-69CB531726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0</xdr:row>
      <xdr:rowOff>297180</xdr:rowOff>
    </xdr:from>
    <xdr:to>
      <xdr:col>3</xdr:col>
      <xdr:colOff>2707342</xdr:colOff>
      <xdr:row>0</xdr:row>
      <xdr:rowOff>1005389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47CFBD75-094C-40D7-B76A-1998E8A4A7AB}"/>
            </a:ext>
          </a:extLst>
        </xdr:cNvPr>
        <xdr:cNvSpPr txBox="1">
          <a:spLocks noChangeArrowheads="1"/>
        </xdr:cNvSpPr>
      </xdr:nvSpPr>
      <xdr:spPr bwMode="auto">
        <a:xfrm>
          <a:off x="1988820" y="297180"/>
          <a:ext cx="2707342" cy="708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pt-BR" sz="1200" b="1">
              <a:effectLst/>
              <a:latin typeface="+mn-lt"/>
              <a:ea typeface="+mn-ea"/>
              <a:cs typeface="+mn-cs"/>
            </a:rPr>
            <a:t>PREFEITURA</a:t>
          </a:r>
          <a:r>
            <a:rPr lang="pt-BR" sz="1200" b="1" baseline="0">
              <a:effectLst/>
              <a:latin typeface="+mn-lt"/>
              <a:ea typeface="+mn-ea"/>
              <a:cs typeface="+mn-cs"/>
            </a:rPr>
            <a:t> MUNICIPAL DE PINTÓPOLIS </a:t>
          </a:r>
        </a:p>
        <a:p>
          <a:r>
            <a:rPr lang="pt-BR" sz="12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Estado de Minas Gerais</a:t>
          </a:r>
        </a:p>
        <a:p>
          <a:r>
            <a:rPr lang="pt-BR" sz="12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Av. JK, n.º 402, centro, Pintópolis MG</a:t>
          </a:r>
          <a:endParaRPr lang="pt-BR" sz="1200" b="0" i="0" u="none" strike="noStrike" baseline="0">
            <a:solidFill>
              <a:sysClr val="windowText" lastClr="000000"/>
            </a:solidFill>
            <a:effectLst/>
            <a:latin typeface="+mn-lt"/>
            <a:ea typeface="+mn-ea"/>
            <a:cs typeface="Arial"/>
          </a:endParaRPr>
        </a:p>
        <a:p>
          <a:endParaRPr lang="pt-BR">
            <a:effectLst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133350</xdr:colOff>
          <xdr:row>0</xdr:row>
          <xdr:rowOff>200025</xdr:rowOff>
        </xdr:from>
        <xdr:to>
          <xdr:col>1</xdr:col>
          <xdr:colOff>438150</xdr:colOff>
          <xdr:row>0</xdr:row>
          <xdr:rowOff>1114425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8F09201D-C4FD-0598-9374-3665775B7A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0</xdr:colOff>
      <xdr:row>0</xdr:row>
      <xdr:rowOff>313767</xdr:rowOff>
    </xdr:from>
    <xdr:to>
      <xdr:col>2</xdr:col>
      <xdr:colOff>2707342</xdr:colOff>
      <xdr:row>0</xdr:row>
      <xdr:rowOff>1021976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D49646D1-3217-4375-9BAA-27789CE6234A}"/>
            </a:ext>
          </a:extLst>
        </xdr:cNvPr>
        <xdr:cNvSpPr txBox="1">
          <a:spLocks noChangeArrowheads="1"/>
        </xdr:cNvSpPr>
      </xdr:nvSpPr>
      <xdr:spPr bwMode="auto">
        <a:xfrm>
          <a:off x="1550894" y="313767"/>
          <a:ext cx="2707342" cy="708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pt-BR" sz="1200" b="1">
              <a:effectLst/>
              <a:latin typeface="+mn-lt"/>
              <a:ea typeface="+mn-ea"/>
              <a:cs typeface="+mn-cs"/>
            </a:rPr>
            <a:t>PREFEITURA</a:t>
          </a:r>
          <a:r>
            <a:rPr lang="pt-BR" sz="1200" b="1" baseline="0">
              <a:effectLst/>
              <a:latin typeface="+mn-lt"/>
              <a:ea typeface="+mn-ea"/>
              <a:cs typeface="+mn-cs"/>
            </a:rPr>
            <a:t> MUNICIPAL DE PINTÓPOLIS </a:t>
          </a:r>
        </a:p>
        <a:p>
          <a:r>
            <a:rPr lang="pt-BR" sz="12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Estado de Minas Gerais</a:t>
          </a:r>
        </a:p>
        <a:p>
          <a:r>
            <a:rPr lang="pt-BR" sz="12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Av. JK, n.º 402, centro, Pintópolis MG</a:t>
          </a:r>
          <a:endParaRPr lang="pt-BR" sz="1200" b="0" i="0" u="none" strike="noStrike" baseline="0">
            <a:solidFill>
              <a:sysClr val="windowText" lastClr="000000"/>
            </a:solidFill>
            <a:effectLst/>
            <a:latin typeface="+mn-lt"/>
            <a:ea typeface="+mn-ea"/>
            <a:cs typeface="Arial"/>
          </a:endParaRPr>
        </a:p>
        <a:p>
          <a:endParaRPr lang="pt-BR">
            <a:effectLst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35861</xdr:colOff>
      <xdr:row>1</xdr:row>
      <xdr:rowOff>53796</xdr:rowOff>
    </xdr:from>
    <xdr:ext cx="9377080" cy="5047128"/>
    <xdr:pic>
      <xdr:nvPicPr>
        <xdr:cNvPr id="2" name="Imagem 1">
          <a:extLst>
            <a:ext uri="{FF2B5EF4-FFF2-40B4-BE49-F238E27FC236}">
              <a16:creationId xmlns:a16="http://schemas.microsoft.com/office/drawing/2014/main" id="{DF366BDD-D867-4D04-97CE-6AA226CB9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61" y="224125"/>
          <a:ext cx="9377080" cy="5047128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76202</xdr:colOff>
      <xdr:row>2</xdr:row>
      <xdr:rowOff>32658</xdr:rowOff>
    </xdr:from>
    <xdr:ext cx="9176655" cy="4724400"/>
    <xdr:pic>
      <xdr:nvPicPr>
        <xdr:cNvPr id="2" name="Imagem 1">
          <a:extLst>
            <a:ext uri="{FF2B5EF4-FFF2-40B4-BE49-F238E27FC236}">
              <a16:creationId xmlns:a16="http://schemas.microsoft.com/office/drawing/2014/main" id="{C707A552-2508-4CDC-A226-C8321946B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2" y="359229"/>
          <a:ext cx="9176655" cy="472440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134477</xdr:rowOff>
    </xdr:from>
    <xdr:to>
      <xdr:col>14</xdr:col>
      <xdr:colOff>575616</xdr:colOff>
      <xdr:row>32</xdr:row>
      <xdr:rowOff>152401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0AB787A-E749-4218-C510-C73D653A2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136"/>
          <a:ext cx="9110016" cy="5127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48"/>
  <sheetViews>
    <sheetView showGridLines="0" view="pageBreakPreview" topLeftCell="A10" zoomScaleNormal="100" zoomScaleSheetLayoutView="100" workbookViewId="0">
      <selection activeCell="B46" sqref="B46:D48"/>
    </sheetView>
  </sheetViews>
  <sheetFormatPr defaultRowHeight="12.75" x14ac:dyDescent="0.2"/>
  <cols>
    <col min="1" max="1" width="1.7109375" customWidth="1"/>
    <col min="8" max="8" width="11.42578125" customWidth="1"/>
    <col min="11" max="11" width="5.140625" customWidth="1"/>
    <col min="12" max="12" width="3" customWidth="1"/>
    <col min="15" max="15" width="12.42578125" customWidth="1"/>
  </cols>
  <sheetData>
    <row r="2" spans="2:15" x14ac:dyDescent="0.2">
      <c r="B2" s="216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4"/>
    </row>
    <row r="3" spans="2:15" x14ac:dyDescent="0.2">
      <c r="B3" s="213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0"/>
    </row>
    <row r="4" spans="2:15" x14ac:dyDescent="0.2">
      <c r="B4" s="213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0"/>
    </row>
    <row r="5" spans="2:15" x14ac:dyDescent="0.2">
      <c r="B5" s="213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0"/>
    </row>
    <row r="6" spans="2:15" x14ac:dyDescent="0.2">
      <c r="B6" s="213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0"/>
    </row>
    <row r="7" spans="2:15" x14ac:dyDescent="0.2">
      <c r="B7" s="213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0"/>
    </row>
    <row r="8" spans="2:15" x14ac:dyDescent="0.2">
      <c r="B8" s="213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0"/>
    </row>
    <row r="9" spans="2:15" x14ac:dyDescent="0.2">
      <c r="B9" s="213"/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0"/>
    </row>
    <row r="10" spans="2:15" x14ac:dyDescent="0.2">
      <c r="B10" s="213"/>
      <c r="C10" s="211"/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0"/>
    </row>
    <row r="11" spans="2:15" x14ac:dyDescent="0.2">
      <c r="B11" s="213"/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0"/>
    </row>
    <row r="12" spans="2:15" x14ac:dyDescent="0.2">
      <c r="B12" s="213"/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0"/>
    </row>
    <row r="13" spans="2:15" x14ac:dyDescent="0.2">
      <c r="B13" s="213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0"/>
    </row>
    <row r="14" spans="2:15" x14ac:dyDescent="0.2">
      <c r="B14" s="213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0"/>
    </row>
    <row r="15" spans="2:15" x14ac:dyDescent="0.2">
      <c r="B15" s="213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0"/>
    </row>
    <row r="16" spans="2:15" x14ac:dyDescent="0.2">
      <c r="B16" s="213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0"/>
    </row>
    <row r="17" spans="2:15" x14ac:dyDescent="0.2">
      <c r="B17" s="213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0"/>
    </row>
    <row r="18" spans="2:15" x14ac:dyDescent="0.2">
      <c r="B18" s="213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0"/>
    </row>
    <row r="19" spans="2:15" x14ac:dyDescent="0.2">
      <c r="B19" s="213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0"/>
    </row>
    <row r="20" spans="2:15" x14ac:dyDescent="0.2">
      <c r="B20" s="213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0"/>
    </row>
    <row r="21" spans="2:15" x14ac:dyDescent="0.2">
      <c r="B21" s="213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0"/>
    </row>
    <row r="22" spans="2:15" x14ac:dyDescent="0.2">
      <c r="B22" s="213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0"/>
    </row>
    <row r="23" spans="2:15" x14ac:dyDescent="0.2">
      <c r="B23" s="213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0"/>
    </row>
    <row r="24" spans="2:15" x14ac:dyDescent="0.2">
      <c r="B24" s="213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1"/>
      <c r="O24" s="210"/>
    </row>
    <row r="25" spans="2:15" x14ac:dyDescent="0.2">
      <c r="B25" s="213"/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0"/>
    </row>
    <row r="26" spans="2:15" x14ac:dyDescent="0.2">
      <c r="B26" s="213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0"/>
    </row>
    <row r="27" spans="2:15" x14ac:dyDescent="0.2">
      <c r="B27" s="255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257"/>
    </row>
    <row r="28" spans="2:15" x14ac:dyDescent="0.2">
      <c r="B28" s="213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0"/>
    </row>
    <row r="29" spans="2:15" x14ac:dyDescent="0.2">
      <c r="B29" s="213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0"/>
    </row>
    <row r="30" spans="2:15" x14ac:dyDescent="0.2">
      <c r="B30" s="213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0"/>
    </row>
    <row r="31" spans="2:15" x14ac:dyDescent="0.2">
      <c r="B31" s="213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0"/>
    </row>
    <row r="32" spans="2:15" x14ac:dyDescent="0.2">
      <c r="B32" s="213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0"/>
    </row>
    <row r="33" spans="2:15" x14ac:dyDescent="0.2">
      <c r="B33" s="213"/>
      <c r="C33" s="211"/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10"/>
    </row>
    <row r="34" spans="2:15" x14ac:dyDescent="0.2">
      <c r="B34" s="213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0"/>
    </row>
    <row r="35" spans="2:15" x14ac:dyDescent="0.2">
      <c r="B35" s="213"/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0"/>
    </row>
    <row r="36" spans="2:15" x14ac:dyDescent="0.2">
      <c r="B36" s="213"/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0"/>
    </row>
    <row r="37" spans="2:15" x14ac:dyDescent="0.2">
      <c r="B37" s="213"/>
      <c r="C37" s="211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0"/>
    </row>
    <row r="38" spans="2:15" x14ac:dyDescent="0.2">
      <c r="B38" s="213"/>
      <c r="C38" s="211"/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0"/>
    </row>
    <row r="39" spans="2:15" x14ac:dyDescent="0.2">
      <c r="B39" s="213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0"/>
    </row>
    <row r="40" spans="2:15" x14ac:dyDescent="0.2">
      <c r="B40" s="213"/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0"/>
    </row>
    <row r="41" spans="2:15" x14ac:dyDescent="0.2">
      <c r="B41" s="213"/>
      <c r="C41" s="211"/>
      <c r="D41" s="211"/>
      <c r="E41" s="211"/>
      <c r="F41" s="211"/>
      <c r="G41" s="211"/>
      <c r="H41" s="212"/>
      <c r="I41" s="211"/>
      <c r="J41" s="211"/>
      <c r="K41" s="211"/>
      <c r="L41" s="211"/>
      <c r="M41" s="211"/>
      <c r="N41" s="211"/>
      <c r="O41" s="210"/>
    </row>
    <row r="42" spans="2:15" x14ac:dyDescent="0.2">
      <c r="B42" s="209"/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6"/>
    </row>
    <row r="43" spans="2:15" ht="20.100000000000001" customHeight="1" x14ac:dyDescent="0.2">
      <c r="B43" s="263" t="s">
        <v>178</v>
      </c>
      <c r="C43" s="264"/>
      <c r="D43" s="264"/>
      <c r="E43" s="265" t="s">
        <v>180</v>
      </c>
      <c r="F43" s="265"/>
      <c r="G43" s="265"/>
      <c r="H43" s="265"/>
      <c r="I43" s="265"/>
      <c r="J43" s="265"/>
      <c r="K43" s="265"/>
      <c r="L43" s="265"/>
      <c r="M43" s="265" t="s">
        <v>177</v>
      </c>
      <c r="N43" s="265"/>
      <c r="O43" s="266"/>
    </row>
    <row r="44" spans="2:15" ht="27" customHeight="1" x14ac:dyDescent="0.2">
      <c r="B44" s="258" t="s">
        <v>179</v>
      </c>
      <c r="C44" s="259"/>
      <c r="D44" s="259"/>
      <c r="E44" s="260" t="s">
        <v>181</v>
      </c>
      <c r="F44" s="260"/>
      <c r="G44" s="260"/>
      <c r="H44" s="260"/>
      <c r="I44" s="260"/>
      <c r="J44" s="260"/>
      <c r="K44" s="260"/>
      <c r="L44" s="260"/>
      <c r="M44" s="260" t="s">
        <v>177</v>
      </c>
      <c r="N44" s="260"/>
      <c r="O44" s="261"/>
    </row>
    <row r="45" spans="2:15" x14ac:dyDescent="0.2">
      <c r="B45" s="209"/>
      <c r="C45" s="207"/>
      <c r="D45" s="208"/>
      <c r="E45" s="208"/>
      <c r="F45" s="207"/>
      <c r="G45" s="206"/>
      <c r="H45" s="262" t="s">
        <v>149</v>
      </c>
      <c r="I45" s="262"/>
      <c r="J45" s="262"/>
      <c r="K45" s="262"/>
      <c r="L45" s="262"/>
      <c r="M45" s="262"/>
      <c r="N45" s="262"/>
      <c r="O45" s="262"/>
    </row>
    <row r="46" spans="2:15" ht="45" customHeight="1" x14ac:dyDescent="0.2">
      <c r="B46" s="267" t="s">
        <v>183</v>
      </c>
      <c r="C46" s="268"/>
      <c r="D46" s="268"/>
      <c r="E46" s="268" t="s">
        <v>182</v>
      </c>
      <c r="F46" s="268"/>
      <c r="G46" s="274"/>
      <c r="H46" s="204" t="s">
        <v>176</v>
      </c>
      <c r="I46" s="271" t="s">
        <v>184</v>
      </c>
      <c r="J46" s="272"/>
      <c r="K46" s="272"/>
      <c r="L46" s="272"/>
      <c r="M46" s="272"/>
      <c r="N46" s="272"/>
      <c r="O46" s="273"/>
    </row>
    <row r="47" spans="2:15" ht="18.95" customHeight="1" x14ac:dyDescent="0.2">
      <c r="B47" s="267"/>
      <c r="C47" s="268"/>
      <c r="D47" s="268"/>
      <c r="E47" s="268"/>
      <c r="F47" s="268"/>
      <c r="G47" s="274"/>
      <c r="H47" s="204" t="s">
        <v>175</v>
      </c>
      <c r="I47" s="276" t="s">
        <v>174</v>
      </c>
      <c r="J47" s="276"/>
      <c r="K47" s="276"/>
      <c r="L47" s="276"/>
      <c r="M47" s="276"/>
      <c r="N47" s="204" t="s">
        <v>33</v>
      </c>
      <c r="O47" s="205">
        <f ca="1">TODAY()</f>
        <v>46231</v>
      </c>
    </row>
    <row r="48" spans="2:15" ht="36.6" customHeight="1" x14ac:dyDescent="0.2">
      <c r="B48" s="269"/>
      <c r="C48" s="270"/>
      <c r="D48" s="270"/>
      <c r="E48" s="270"/>
      <c r="F48" s="270"/>
      <c r="G48" s="275"/>
      <c r="H48" s="204" t="s">
        <v>173</v>
      </c>
      <c r="I48" s="277" t="s">
        <v>202</v>
      </c>
      <c r="J48" s="277"/>
      <c r="K48" s="277"/>
      <c r="L48" s="277"/>
      <c r="M48" s="277"/>
      <c r="N48" s="204" t="s">
        <v>172</v>
      </c>
      <c r="O48" s="203" t="s">
        <v>171</v>
      </c>
    </row>
  </sheetData>
  <mergeCells count="13">
    <mergeCell ref="B46:D48"/>
    <mergeCell ref="I46:O46"/>
    <mergeCell ref="E46:G48"/>
    <mergeCell ref="I47:M47"/>
    <mergeCell ref="I48:M48"/>
    <mergeCell ref="B27:O27"/>
    <mergeCell ref="B44:D44"/>
    <mergeCell ref="E44:L44"/>
    <mergeCell ref="M44:O44"/>
    <mergeCell ref="H45:O45"/>
    <mergeCell ref="B43:D43"/>
    <mergeCell ref="E43:L43"/>
    <mergeCell ref="M43:O43"/>
  </mergeCells>
  <pageMargins left="0.23622047244094491" right="0.23622047244094491" top="0.35433070866141736" bottom="0.35433070866141736" header="0.31496062992125984" footer="0.31496062992125984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Q6" sqref="Q6"/>
    </sheetView>
  </sheetViews>
  <sheetFormatPr defaultRowHeight="12.75" x14ac:dyDescent="0.2"/>
  <sheetData>
    <row r="1" spans="1:1" x14ac:dyDescent="0.2">
      <c r="A1" t="s">
        <v>215</v>
      </c>
    </row>
    <row r="37" spans="1:6" x14ac:dyDescent="0.2">
      <c r="A37" t="s">
        <v>203</v>
      </c>
      <c r="F37" t="s">
        <v>204</v>
      </c>
    </row>
    <row r="38" spans="1:6" x14ac:dyDescent="0.2">
      <c r="A38" t="s">
        <v>214</v>
      </c>
      <c r="F38" t="s">
        <v>205</v>
      </c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9"/>
  <sheetViews>
    <sheetView showGridLines="0" view="pageBreakPreview" topLeftCell="A4" zoomScaleSheetLayoutView="100" workbookViewId="0">
      <selection activeCell="G1" sqref="G1"/>
    </sheetView>
  </sheetViews>
  <sheetFormatPr defaultRowHeight="12.75" x14ac:dyDescent="0.2"/>
  <cols>
    <col min="1" max="1" width="17" customWidth="1"/>
    <col min="2" max="2" width="9.28515625" bestFit="1" customWidth="1"/>
    <col min="3" max="5" width="6.7109375" bestFit="1" customWidth="1"/>
    <col min="6" max="6" width="7.140625" customWidth="1"/>
    <col min="7" max="7" width="9.140625" bestFit="1" customWidth="1"/>
    <col min="8" max="8" width="11.85546875" bestFit="1" customWidth="1"/>
    <col min="9" max="9" width="12.7109375" bestFit="1" customWidth="1"/>
    <col min="10" max="10" width="10.7109375" customWidth="1"/>
  </cols>
  <sheetData>
    <row r="1" spans="1:10" ht="84.75" customHeight="1" x14ac:dyDescent="0.2"/>
    <row r="2" spans="1:10" ht="16.5" x14ac:dyDescent="0.25">
      <c r="A2" s="327" t="s">
        <v>64</v>
      </c>
      <c r="B2" s="327"/>
      <c r="C2" s="327"/>
      <c r="D2" s="327"/>
      <c r="E2" s="327"/>
      <c r="F2" s="327"/>
      <c r="G2" s="327"/>
      <c r="H2" s="327"/>
      <c r="I2" s="327"/>
      <c r="J2" s="327"/>
    </row>
    <row r="3" spans="1:10" ht="15" x14ac:dyDescent="0.25">
      <c r="A3" s="235"/>
      <c r="B3" s="328"/>
      <c r="C3" s="328"/>
      <c r="D3" s="328"/>
      <c r="E3" s="328"/>
      <c r="F3" s="328"/>
      <c r="G3" s="328"/>
      <c r="H3" s="235"/>
      <c r="I3" s="235"/>
      <c r="J3" s="235"/>
    </row>
    <row r="4" spans="1:10" ht="19.5" customHeight="1" x14ac:dyDescent="0.2">
      <c r="A4" s="329" t="s">
        <v>65</v>
      </c>
      <c r="B4" s="330"/>
      <c r="C4" s="330"/>
      <c r="D4" s="330"/>
      <c r="E4" s="330"/>
      <c r="F4" s="330"/>
      <c r="G4" s="330"/>
      <c r="H4" s="330"/>
      <c r="I4" s="330"/>
      <c r="J4" s="330"/>
    </row>
    <row r="5" spans="1:10" ht="12.75" customHeight="1" x14ac:dyDescent="0.2">
      <c r="A5" s="316" t="s">
        <v>66</v>
      </c>
      <c r="B5" s="217" t="s">
        <v>67</v>
      </c>
      <c r="C5" s="319" t="s">
        <v>68</v>
      </c>
      <c r="D5" s="320"/>
      <c r="E5" s="320"/>
      <c r="F5" s="320"/>
      <c r="G5" s="320"/>
      <c r="H5" s="320"/>
      <c r="I5" s="321"/>
      <c r="J5" s="217" t="s">
        <v>69</v>
      </c>
    </row>
    <row r="6" spans="1:10" x14ac:dyDescent="0.2">
      <c r="A6" s="317"/>
      <c r="B6" s="218">
        <v>-1</v>
      </c>
      <c r="C6" s="322" t="s">
        <v>185</v>
      </c>
      <c r="D6" s="323"/>
      <c r="E6" s="323"/>
      <c r="F6" s="324"/>
      <c r="G6" s="325" t="s">
        <v>70</v>
      </c>
      <c r="H6" s="323"/>
      <c r="I6" s="326"/>
      <c r="J6" s="218">
        <v>-6</v>
      </c>
    </row>
    <row r="7" spans="1:10" ht="36" customHeight="1" x14ac:dyDescent="0.2">
      <c r="A7" s="317"/>
      <c r="B7" s="218"/>
      <c r="C7" s="303">
        <v>0.02</v>
      </c>
      <c r="D7" s="303">
        <v>0.03</v>
      </c>
      <c r="E7" s="303">
        <v>0.04</v>
      </c>
      <c r="F7" s="303">
        <v>0.05</v>
      </c>
      <c r="G7" s="217" t="s">
        <v>71</v>
      </c>
      <c r="H7" s="217" t="s">
        <v>72</v>
      </c>
      <c r="I7" s="217" t="s">
        <v>74</v>
      </c>
      <c r="J7" s="218"/>
    </row>
    <row r="8" spans="1:10" x14ac:dyDescent="0.2">
      <c r="A8" s="317"/>
      <c r="B8" s="218"/>
      <c r="C8" s="304"/>
      <c r="D8" s="304"/>
      <c r="E8" s="304"/>
      <c r="F8" s="304"/>
      <c r="G8" s="218">
        <v>-5</v>
      </c>
      <c r="H8" s="218">
        <v>-4</v>
      </c>
      <c r="I8" s="218">
        <v>-3</v>
      </c>
      <c r="J8" s="218"/>
    </row>
    <row r="9" spans="1:10" x14ac:dyDescent="0.2">
      <c r="A9" s="318"/>
      <c r="B9" s="219"/>
      <c r="C9" s="305"/>
      <c r="D9" s="305"/>
      <c r="E9" s="305"/>
      <c r="F9" s="305"/>
      <c r="G9" s="219"/>
      <c r="H9" s="220" t="s">
        <v>73</v>
      </c>
      <c r="I9" s="220" t="s">
        <v>73</v>
      </c>
      <c r="J9" s="218"/>
    </row>
    <row r="10" spans="1:10" x14ac:dyDescent="0.2">
      <c r="A10" s="221" t="s">
        <v>75</v>
      </c>
      <c r="B10" s="222" t="s">
        <v>76</v>
      </c>
      <c r="C10" s="223">
        <v>1</v>
      </c>
      <c r="D10" s="223">
        <v>1</v>
      </c>
      <c r="E10" s="223">
        <v>1</v>
      </c>
      <c r="F10" s="223">
        <v>1</v>
      </c>
      <c r="G10" s="223">
        <v>1</v>
      </c>
      <c r="H10" s="223">
        <v>1</v>
      </c>
      <c r="I10" s="223">
        <v>1</v>
      </c>
      <c r="J10" s="224"/>
    </row>
    <row r="11" spans="1:10" ht="22.5" x14ac:dyDescent="0.2">
      <c r="A11" s="221" t="s">
        <v>77</v>
      </c>
      <c r="B11" s="222" t="s">
        <v>78</v>
      </c>
      <c r="C11" s="225">
        <v>4.6699999999999998E-2</v>
      </c>
      <c r="D11" s="225">
        <v>4.6699999999999998E-2</v>
      </c>
      <c r="E11" s="225">
        <v>4.6699999999999998E-2</v>
      </c>
      <c r="F11" s="225">
        <v>4.6699999999999998E-2</v>
      </c>
      <c r="G11" s="225">
        <v>3.4200000000000001E-2</v>
      </c>
      <c r="H11" s="225">
        <v>4.0099999999999997E-2</v>
      </c>
      <c r="I11" s="225">
        <v>3.4200000000000001E-2</v>
      </c>
      <c r="J11" s="224" t="s">
        <v>76</v>
      </c>
    </row>
    <row r="12" spans="1:10" x14ac:dyDescent="0.2">
      <c r="A12" s="221" t="s">
        <v>79</v>
      </c>
      <c r="B12" s="222" t="s">
        <v>80</v>
      </c>
      <c r="C12" s="225">
        <v>7.5300000000000006E-2</v>
      </c>
      <c r="D12" s="225">
        <v>7.5300000000000006E-2</v>
      </c>
      <c r="E12" s="225">
        <v>7.5300000000000006E-2</v>
      </c>
      <c r="F12" s="225">
        <v>7.5300000000000006E-2</v>
      </c>
      <c r="G12" s="225">
        <v>4.9399999999999999E-2</v>
      </c>
      <c r="H12" s="225">
        <v>6.6400000000000001E-2</v>
      </c>
      <c r="I12" s="225">
        <v>4.9399999999999999E-2</v>
      </c>
      <c r="J12" s="224" t="s">
        <v>76</v>
      </c>
    </row>
    <row r="13" spans="1:10" ht="22.5" x14ac:dyDescent="0.2">
      <c r="A13" s="221" t="s">
        <v>81</v>
      </c>
      <c r="B13" s="222" t="s">
        <v>82</v>
      </c>
      <c r="C13" s="225">
        <v>1.0500000000000001E-2</v>
      </c>
      <c r="D13" s="225">
        <v>1.0500000000000001E-2</v>
      </c>
      <c r="E13" s="225">
        <v>1.0500000000000001E-2</v>
      </c>
      <c r="F13" s="225">
        <v>1.0500000000000001E-2</v>
      </c>
      <c r="G13" s="225">
        <v>1.0500000000000001E-2</v>
      </c>
      <c r="H13" s="225">
        <v>1.0500000000000001E-2</v>
      </c>
      <c r="I13" s="225">
        <v>1.0500000000000001E-2</v>
      </c>
      <c r="J13" s="224" t="s">
        <v>76</v>
      </c>
    </row>
    <row r="14" spans="1:10" ht="22.5" x14ac:dyDescent="0.2">
      <c r="A14" s="221" t="s">
        <v>83</v>
      </c>
      <c r="B14" s="226"/>
      <c r="C14" s="227">
        <v>1.7100000000000001E-2</v>
      </c>
      <c r="D14" s="227">
        <v>1.7100000000000001E-2</v>
      </c>
      <c r="E14" s="227">
        <v>1.7100000000000001E-2</v>
      </c>
      <c r="F14" s="227">
        <v>1.7100000000000001E-2</v>
      </c>
      <c r="G14" s="227">
        <v>1.29E-2</v>
      </c>
      <c r="H14" s="227">
        <v>8.2000000000000007E-3</v>
      </c>
      <c r="I14" s="227">
        <v>1.29E-2</v>
      </c>
      <c r="J14" s="228" t="s">
        <v>76</v>
      </c>
    </row>
    <row r="15" spans="1:10" ht="22.5" x14ac:dyDescent="0.2">
      <c r="A15" s="221" t="s">
        <v>84</v>
      </c>
      <c r="B15" s="222" t="s">
        <v>85</v>
      </c>
      <c r="C15" s="225">
        <v>7.4000000000000003E-3</v>
      </c>
      <c r="D15" s="225">
        <v>7.4000000000000003E-3</v>
      </c>
      <c r="E15" s="225">
        <v>7.4000000000000003E-3</v>
      </c>
      <c r="F15" s="225">
        <v>7.4000000000000003E-3</v>
      </c>
      <c r="G15" s="225">
        <v>5.3E-3</v>
      </c>
      <c r="H15" s="225">
        <v>3.2000000000000002E-3</v>
      </c>
      <c r="I15" s="225">
        <v>5.3E-3</v>
      </c>
      <c r="J15" s="224" t="s">
        <v>76</v>
      </c>
    </row>
    <row r="16" spans="1:10" x14ac:dyDescent="0.2">
      <c r="A16" s="221" t="s">
        <v>86</v>
      </c>
      <c r="B16" s="222" t="s">
        <v>87</v>
      </c>
      <c r="C16" s="225">
        <v>9.7000000000000003E-3</v>
      </c>
      <c r="D16" s="225">
        <v>9.7000000000000003E-3</v>
      </c>
      <c r="E16" s="225">
        <v>9.7000000000000003E-3</v>
      </c>
      <c r="F16" s="225">
        <v>9.7000000000000003E-3</v>
      </c>
      <c r="G16" s="225">
        <v>7.6E-3</v>
      </c>
      <c r="H16" s="225">
        <v>5.0000000000000001E-3</v>
      </c>
      <c r="I16" s="225">
        <v>7.6E-3</v>
      </c>
      <c r="J16" s="224" t="s">
        <v>76</v>
      </c>
    </row>
    <row r="17" spans="1:10" x14ac:dyDescent="0.2">
      <c r="A17" s="221" t="s">
        <v>88</v>
      </c>
      <c r="B17" s="222" t="s">
        <v>89</v>
      </c>
      <c r="C17" s="227">
        <v>5.0500000000000003E-2</v>
      </c>
      <c r="D17" s="227">
        <v>5.7500000000000002E-2</v>
      </c>
      <c r="E17" s="227">
        <v>6.4500000000000002E-2</v>
      </c>
      <c r="F17" s="227">
        <v>7.1499999999999994E-2</v>
      </c>
      <c r="G17" s="227">
        <v>3.6499999999999998E-2</v>
      </c>
      <c r="H17" s="227">
        <v>6.1499999999999999E-2</v>
      </c>
      <c r="I17" s="227">
        <v>6.1499999999999999E-2</v>
      </c>
      <c r="J17" s="228" t="s">
        <v>90</v>
      </c>
    </row>
    <row r="18" spans="1:10" x14ac:dyDescent="0.2">
      <c r="A18" s="221" t="s">
        <v>91</v>
      </c>
      <c r="B18" s="226" t="s">
        <v>186</v>
      </c>
      <c r="C18" s="229">
        <v>1.4E-2</v>
      </c>
      <c r="D18" s="229">
        <v>2.1000000000000001E-2</v>
      </c>
      <c r="E18" s="229">
        <v>2.8000000000000001E-2</v>
      </c>
      <c r="F18" s="229">
        <v>3.5000000000000003E-2</v>
      </c>
      <c r="G18" s="230" t="s">
        <v>46</v>
      </c>
      <c r="H18" s="229">
        <v>2.5000000000000001E-2</v>
      </c>
      <c r="I18" s="229">
        <v>2.5000000000000001E-2</v>
      </c>
      <c r="J18" s="224" t="s">
        <v>90</v>
      </c>
    </row>
    <row r="19" spans="1:10" x14ac:dyDescent="0.2">
      <c r="A19" s="221" t="s">
        <v>92</v>
      </c>
      <c r="B19" s="226" t="s">
        <v>92</v>
      </c>
      <c r="C19" s="225">
        <v>6.4999999999999997E-3</v>
      </c>
      <c r="D19" s="225">
        <v>6.4999999999999997E-3</v>
      </c>
      <c r="E19" s="225">
        <v>6.4999999999999997E-3</v>
      </c>
      <c r="F19" s="225">
        <v>6.4999999999999997E-3</v>
      </c>
      <c r="G19" s="225">
        <v>6.4999999999999997E-3</v>
      </c>
      <c r="H19" s="225">
        <v>6.4999999999999997E-3</v>
      </c>
      <c r="I19" s="225">
        <v>6.4999999999999997E-3</v>
      </c>
      <c r="J19" s="224" t="s">
        <v>90</v>
      </c>
    </row>
    <row r="20" spans="1:10" x14ac:dyDescent="0.2">
      <c r="A20" s="221" t="s">
        <v>93</v>
      </c>
      <c r="B20" s="226" t="s">
        <v>46</v>
      </c>
      <c r="C20" s="225">
        <v>0.03</v>
      </c>
      <c r="D20" s="225">
        <v>0.03</v>
      </c>
      <c r="E20" s="225">
        <v>0.03</v>
      </c>
      <c r="F20" s="225">
        <v>0.03</v>
      </c>
      <c r="G20" s="225">
        <v>0.03</v>
      </c>
      <c r="H20" s="225">
        <v>0.03</v>
      </c>
      <c r="I20" s="225">
        <v>0.03</v>
      </c>
      <c r="J20" s="224" t="s">
        <v>90</v>
      </c>
    </row>
    <row r="21" spans="1:10" x14ac:dyDescent="0.2">
      <c r="A21" s="221" t="s">
        <v>193</v>
      </c>
      <c r="B21" s="226" t="s">
        <v>94</v>
      </c>
      <c r="C21" s="224" t="s">
        <v>95</v>
      </c>
      <c r="D21" s="224" t="s">
        <v>96</v>
      </c>
      <c r="E21" s="224" t="s">
        <v>96</v>
      </c>
      <c r="F21" s="224" t="s">
        <v>96</v>
      </c>
      <c r="G21" s="224" t="s">
        <v>96</v>
      </c>
      <c r="H21" s="224" t="s">
        <v>96</v>
      </c>
      <c r="I21" s="224" t="s">
        <v>96</v>
      </c>
      <c r="J21" s="224" t="s">
        <v>90</v>
      </c>
    </row>
    <row r="22" spans="1:10" x14ac:dyDescent="0.2">
      <c r="A22" s="306"/>
      <c r="B22" s="307"/>
      <c r="C22" s="307"/>
      <c r="D22" s="307"/>
      <c r="E22" s="307"/>
      <c r="F22" s="307"/>
      <c r="G22" s="307"/>
      <c r="H22" s="307"/>
      <c r="I22" s="307"/>
      <c r="J22" s="307"/>
    </row>
    <row r="23" spans="1:10" x14ac:dyDescent="0.2">
      <c r="A23" s="308" t="s">
        <v>97</v>
      </c>
      <c r="B23" s="309"/>
      <c r="C23" s="312" t="s">
        <v>98</v>
      </c>
      <c r="D23" s="313"/>
      <c r="E23" s="313"/>
      <c r="F23" s="313"/>
      <c r="G23" s="313"/>
      <c r="H23" s="313"/>
      <c r="I23" s="313"/>
      <c r="J23" s="313"/>
    </row>
    <row r="24" spans="1:10" x14ac:dyDescent="0.2">
      <c r="A24" s="310"/>
      <c r="B24" s="311"/>
      <c r="C24" s="314" t="s">
        <v>99</v>
      </c>
      <c r="D24" s="315"/>
      <c r="E24" s="315"/>
      <c r="F24" s="315"/>
      <c r="G24" s="315"/>
      <c r="H24" s="315"/>
      <c r="I24" s="315"/>
      <c r="J24" s="315"/>
    </row>
    <row r="25" spans="1:10" x14ac:dyDescent="0.2">
      <c r="A25" s="288" t="s">
        <v>100</v>
      </c>
      <c r="B25" s="289"/>
      <c r="C25" s="231">
        <v>0.15590000000000001</v>
      </c>
      <c r="D25" s="231">
        <v>0.15590000000000001</v>
      </c>
      <c r="E25" s="231">
        <v>0.15590000000000001</v>
      </c>
      <c r="F25" s="231">
        <v>0.15590000000000001</v>
      </c>
      <c r="G25" s="231">
        <v>0.1103</v>
      </c>
      <c r="H25" s="231">
        <v>0.12959999999999999</v>
      </c>
      <c r="I25" s="231">
        <v>0.1103</v>
      </c>
      <c r="J25" s="290"/>
    </row>
    <row r="26" spans="1:10" x14ac:dyDescent="0.2">
      <c r="A26" s="288" t="s">
        <v>101</v>
      </c>
      <c r="B26" s="289"/>
      <c r="C26" s="231">
        <v>0.94950000000000001</v>
      </c>
      <c r="D26" s="231">
        <v>0.9425</v>
      </c>
      <c r="E26" s="231">
        <v>0.9355</v>
      </c>
      <c r="F26" s="231">
        <v>0.92849999999999999</v>
      </c>
      <c r="G26" s="231">
        <v>0.96350000000000002</v>
      </c>
      <c r="H26" s="231">
        <v>0.9385</v>
      </c>
      <c r="I26" s="231">
        <v>0.9385</v>
      </c>
      <c r="J26" s="291"/>
    </row>
    <row r="27" spans="1:10" x14ac:dyDescent="0.2">
      <c r="A27" s="293" t="s">
        <v>102</v>
      </c>
      <c r="B27" s="294"/>
      <c r="C27" s="297">
        <v>0.21740000000000001</v>
      </c>
      <c r="D27" s="297">
        <v>0.22639999999999999</v>
      </c>
      <c r="E27" s="297">
        <v>0.2356</v>
      </c>
      <c r="F27" s="297">
        <v>0.24490000000000001</v>
      </c>
      <c r="G27" s="297">
        <v>0.15240000000000001</v>
      </c>
      <c r="H27" s="297">
        <v>0.2036</v>
      </c>
      <c r="I27" s="297">
        <v>0.18310000000000001</v>
      </c>
      <c r="J27" s="291"/>
    </row>
    <row r="28" spans="1:10" x14ac:dyDescent="0.2">
      <c r="A28" s="295"/>
      <c r="B28" s="296"/>
      <c r="C28" s="298"/>
      <c r="D28" s="298"/>
      <c r="E28" s="298"/>
      <c r="F28" s="298"/>
      <c r="G28" s="298"/>
      <c r="H28" s="298"/>
      <c r="I28" s="298"/>
      <c r="J28" s="292"/>
    </row>
    <row r="29" spans="1:10" x14ac:dyDescent="0.2">
      <c r="A29" s="299" t="s">
        <v>103</v>
      </c>
      <c r="B29" s="300"/>
      <c r="C29" s="300"/>
      <c r="D29" s="300"/>
      <c r="E29" s="300"/>
      <c r="F29" s="300"/>
      <c r="G29" s="300"/>
      <c r="H29" s="300"/>
      <c r="I29" s="300"/>
      <c r="J29" s="300"/>
    </row>
    <row r="30" spans="1:10" x14ac:dyDescent="0.2">
      <c r="A30" s="301" t="s">
        <v>187</v>
      </c>
      <c r="B30" s="302"/>
      <c r="C30" s="302"/>
      <c r="D30" s="302"/>
      <c r="E30" s="302"/>
      <c r="F30" s="302"/>
      <c r="G30" s="302"/>
      <c r="H30" s="302"/>
      <c r="I30" s="302"/>
      <c r="J30" s="302"/>
    </row>
    <row r="31" spans="1:10" ht="12.75" customHeight="1" x14ac:dyDescent="0.2">
      <c r="A31" s="279" t="s">
        <v>188</v>
      </c>
      <c r="B31" s="280"/>
      <c r="C31" s="280"/>
      <c r="D31" s="280"/>
      <c r="E31" s="280"/>
      <c r="F31" s="280"/>
      <c r="G31" s="280"/>
      <c r="H31" s="280"/>
      <c r="I31" s="280"/>
      <c r="J31" s="280"/>
    </row>
    <row r="32" spans="1:10" ht="12.75" customHeight="1" x14ac:dyDescent="0.2">
      <c r="A32" s="279" t="s">
        <v>189</v>
      </c>
      <c r="B32" s="280"/>
      <c r="C32" s="280"/>
      <c r="D32" s="280"/>
      <c r="E32" s="280"/>
      <c r="F32" s="280"/>
      <c r="G32" s="280"/>
      <c r="H32" s="280"/>
      <c r="I32" s="280"/>
      <c r="J32" s="280"/>
    </row>
    <row r="33" spans="1:10" ht="12.75" customHeight="1" x14ac:dyDescent="0.2">
      <c r="A33" s="279" t="s">
        <v>190</v>
      </c>
      <c r="B33" s="280"/>
      <c r="C33" s="280"/>
      <c r="D33" s="280"/>
      <c r="E33" s="280"/>
      <c r="F33" s="280"/>
      <c r="G33" s="280"/>
      <c r="H33" s="280"/>
      <c r="I33" s="280"/>
      <c r="J33" s="280"/>
    </row>
    <row r="34" spans="1:10" ht="12.75" customHeight="1" x14ac:dyDescent="0.2">
      <c r="A34" s="279" t="s">
        <v>191</v>
      </c>
      <c r="B34" s="280"/>
      <c r="C34" s="280"/>
      <c r="D34" s="280"/>
      <c r="E34" s="280"/>
      <c r="F34" s="280"/>
      <c r="G34" s="280"/>
      <c r="H34" s="280"/>
      <c r="I34" s="280"/>
      <c r="J34" s="280"/>
    </row>
    <row r="35" spans="1:10" x14ac:dyDescent="0.2">
      <c r="A35" s="279" t="s">
        <v>192</v>
      </c>
      <c r="B35" s="280"/>
      <c r="C35" s="280"/>
      <c r="D35" s="280"/>
      <c r="E35" s="280"/>
      <c r="F35" s="280"/>
      <c r="G35" s="280"/>
      <c r="H35" s="280"/>
      <c r="I35" s="280"/>
      <c r="J35" s="280"/>
    </row>
    <row r="36" spans="1:10" ht="12.75" customHeight="1" x14ac:dyDescent="0.2">
      <c r="A36" s="281" t="s">
        <v>194</v>
      </c>
      <c r="B36" s="282"/>
      <c r="C36" s="282"/>
      <c r="D36" s="282"/>
      <c r="E36" s="282"/>
      <c r="F36" s="282"/>
      <c r="G36" s="282"/>
      <c r="H36" s="282"/>
      <c r="I36" s="282"/>
      <c r="J36" s="282"/>
    </row>
    <row r="37" spans="1:10" ht="12.75" customHeight="1" x14ac:dyDescent="0.2">
      <c r="A37" s="283" t="s">
        <v>104</v>
      </c>
      <c r="B37" s="283"/>
      <c r="C37" s="283"/>
      <c r="D37" s="283"/>
      <c r="E37" s="283"/>
      <c r="F37" s="283"/>
      <c r="G37" s="283"/>
      <c r="H37" s="283"/>
      <c r="I37" s="283"/>
      <c r="J37" s="283"/>
    </row>
    <row r="38" spans="1:10" x14ac:dyDescent="0.2">
      <c r="A38" s="284"/>
      <c r="B38" s="284"/>
      <c r="C38" s="284"/>
      <c r="D38" s="284"/>
      <c r="E38" s="284"/>
      <c r="F38" s="284"/>
      <c r="G38" s="284"/>
      <c r="H38" s="284"/>
      <c r="I38" s="284"/>
      <c r="J38" s="284"/>
    </row>
    <row r="39" spans="1:10" x14ac:dyDescent="0.2">
      <c r="A39" s="284"/>
      <c r="B39" s="284"/>
      <c r="C39" s="284"/>
      <c r="D39" s="284"/>
      <c r="E39" s="284"/>
      <c r="F39" s="284"/>
      <c r="G39" s="284"/>
      <c r="H39" s="284"/>
      <c r="I39" s="284"/>
      <c r="J39" s="284"/>
    </row>
    <row r="40" spans="1:10" x14ac:dyDescent="0.2">
      <c r="A40" s="284"/>
      <c r="B40" s="284"/>
      <c r="C40" s="284"/>
      <c r="D40" s="284"/>
      <c r="E40" s="284"/>
      <c r="F40" s="284"/>
      <c r="G40" s="284"/>
      <c r="H40" s="284"/>
      <c r="I40" s="284"/>
      <c r="J40" s="284"/>
    </row>
    <row r="41" spans="1:10" x14ac:dyDescent="0.2">
      <c r="A41" s="284"/>
      <c r="B41" s="284"/>
      <c r="C41" s="284"/>
      <c r="D41" s="284"/>
      <c r="E41" s="284"/>
      <c r="F41" s="284"/>
      <c r="G41" s="284"/>
      <c r="H41" s="284"/>
      <c r="I41" s="284"/>
      <c r="J41" s="284"/>
    </row>
    <row r="47" spans="1:10" x14ac:dyDescent="0.2">
      <c r="A47" s="285" t="s">
        <v>105</v>
      </c>
      <c r="B47" s="286"/>
      <c r="C47" s="286"/>
      <c r="D47" s="286"/>
      <c r="E47" s="286"/>
      <c r="F47" s="286"/>
      <c r="G47" s="286"/>
      <c r="H47" s="286"/>
      <c r="I47" s="286"/>
      <c r="J47" s="286"/>
    </row>
    <row r="48" spans="1:10" x14ac:dyDescent="0.2">
      <c r="A48" s="287" t="s">
        <v>167</v>
      </c>
      <c r="B48" s="287"/>
      <c r="C48" s="287"/>
      <c r="D48" s="287"/>
      <c r="E48" s="287"/>
      <c r="F48" s="287"/>
      <c r="G48" s="287"/>
      <c r="H48" s="287"/>
      <c r="I48" s="287"/>
      <c r="J48" s="287"/>
    </row>
    <row r="49" spans="1:10" x14ac:dyDescent="0.2">
      <c r="A49" s="278" t="s">
        <v>168</v>
      </c>
      <c r="B49" s="278"/>
      <c r="C49" s="278"/>
      <c r="D49" s="278"/>
      <c r="E49" s="278"/>
      <c r="F49" s="278"/>
      <c r="G49" s="278"/>
      <c r="H49" s="278"/>
      <c r="I49" s="278"/>
      <c r="J49" s="278"/>
    </row>
  </sheetData>
  <mergeCells count="40">
    <mergeCell ref="A2:J2"/>
    <mergeCell ref="B3:C3"/>
    <mergeCell ref="D3:E3"/>
    <mergeCell ref="F3:G3"/>
    <mergeCell ref="A4:J4"/>
    <mergeCell ref="D7:D9"/>
    <mergeCell ref="E7:E9"/>
    <mergeCell ref="F7:F9"/>
    <mergeCell ref="A22:J22"/>
    <mergeCell ref="A23:B24"/>
    <mergeCell ref="C23:J23"/>
    <mergeCell ref="C24:J24"/>
    <mergeCell ref="A5:A9"/>
    <mergeCell ref="C5:I5"/>
    <mergeCell ref="C6:F6"/>
    <mergeCell ref="G6:I6"/>
    <mergeCell ref="C7:C9"/>
    <mergeCell ref="A33:J33"/>
    <mergeCell ref="A25:B25"/>
    <mergeCell ref="J25:J28"/>
    <mergeCell ref="A26:B26"/>
    <mergeCell ref="A27:B28"/>
    <mergeCell ref="C27:C28"/>
    <mergeCell ref="D27:D28"/>
    <mergeCell ref="E27:E28"/>
    <mergeCell ref="F27:F28"/>
    <mergeCell ref="G27:G28"/>
    <mergeCell ref="H27:H28"/>
    <mergeCell ref="I27:I28"/>
    <mergeCell ref="A29:J29"/>
    <mergeCell ref="A30:J30"/>
    <mergeCell ref="A31:J31"/>
    <mergeCell ref="A32:J32"/>
    <mergeCell ref="A49:J49"/>
    <mergeCell ref="A34:J34"/>
    <mergeCell ref="A35:J35"/>
    <mergeCell ref="A36:J36"/>
    <mergeCell ref="A37:J41"/>
    <mergeCell ref="A47:J47"/>
    <mergeCell ref="A48:J48"/>
  </mergeCells>
  <pageMargins left="0.511811024" right="0.511811024" top="0.78740157499999996" bottom="0.78740157499999996" header="0.31496062000000002" footer="0.31496062000000002"/>
  <pageSetup paperSize="9" scale="74" orientation="portrait" r:id="rId1"/>
  <drawing r:id="rId2"/>
  <legacyDrawing r:id="rId3"/>
  <oleObjects>
    <mc:AlternateContent xmlns:mc="http://schemas.openxmlformats.org/markup-compatibility/2006">
      <mc:Choice Requires="x14">
        <oleObject progId="StaticMetafile" shapeId="3073" r:id="rId4">
          <objectPr defaultSize="0" autoPict="0" r:id="rId5">
            <anchor moveWithCells="1" sizeWithCells="1">
              <from>
                <xdr:col>0</xdr:col>
                <xdr:colOff>133350</xdr:colOff>
                <xdr:row>0</xdr:row>
                <xdr:rowOff>142875</xdr:rowOff>
              </from>
              <to>
                <xdr:col>0</xdr:col>
                <xdr:colOff>1009650</xdr:colOff>
                <xdr:row>0</xdr:row>
                <xdr:rowOff>847725</xdr:rowOff>
              </to>
            </anchor>
          </objectPr>
        </oleObject>
      </mc:Choice>
      <mc:Fallback>
        <oleObject progId="StaticMetafile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60"/>
  <sheetViews>
    <sheetView showGridLines="0" showZeros="0" tabSelected="1" view="pageBreakPreview" topLeftCell="A2" zoomScale="85" zoomScaleNormal="85" zoomScaleSheetLayoutView="85" workbookViewId="0">
      <selection activeCell="L13" sqref="L13"/>
    </sheetView>
  </sheetViews>
  <sheetFormatPr defaultColWidth="9.140625" defaultRowHeight="12.75" x14ac:dyDescent="0.2"/>
  <cols>
    <col min="1" max="1" width="5.42578125" style="1" bestFit="1" customWidth="1"/>
    <col min="2" max="2" width="12.85546875" style="1" customWidth="1"/>
    <col min="3" max="3" width="10.7109375" style="1" bestFit="1" customWidth="1"/>
    <col min="4" max="4" width="61.7109375" style="1" customWidth="1"/>
    <col min="5" max="5" width="11.140625" style="1" customWidth="1"/>
    <col min="6" max="6" width="14.140625" style="1" customWidth="1"/>
    <col min="7" max="7" width="12.28515625" style="1" customWidth="1"/>
    <col min="8" max="8" width="16.7109375" style="1" customWidth="1"/>
    <col min="9" max="9" width="16.85546875" style="1" customWidth="1"/>
    <col min="10" max="10" width="13.140625" style="42" bestFit="1" customWidth="1"/>
    <col min="11" max="11" width="15" style="1" customWidth="1"/>
    <col min="12" max="12" width="44.42578125" style="1" customWidth="1"/>
    <col min="13" max="16384" width="9.140625" style="1"/>
  </cols>
  <sheetData>
    <row r="1" spans="1:10" ht="95.25" customHeight="1" thickBot="1" x14ac:dyDescent="0.25">
      <c r="A1" s="354"/>
      <c r="B1" s="355"/>
      <c r="C1" s="355"/>
      <c r="D1" s="352"/>
      <c r="E1" s="352"/>
      <c r="F1" s="352"/>
      <c r="G1" s="352"/>
      <c r="H1" s="352"/>
      <c r="I1" s="353"/>
    </row>
    <row r="2" spans="1:10" ht="20.25" customHeight="1" thickBot="1" x14ac:dyDescent="0.25">
      <c r="A2" s="349" t="s">
        <v>4</v>
      </c>
      <c r="B2" s="350"/>
      <c r="C2" s="350"/>
      <c r="D2" s="350"/>
      <c r="E2" s="350"/>
      <c r="F2" s="350"/>
      <c r="G2" s="350"/>
      <c r="H2" s="350"/>
      <c r="I2" s="351"/>
    </row>
    <row r="3" spans="1:10" ht="3.75" customHeight="1" thickBot="1" x14ac:dyDescent="0.25">
      <c r="A3" s="131"/>
      <c r="B3" s="132"/>
      <c r="C3" s="132"/>
      <c r="D3" s="132"/>
      <c r="E3" s="132"/>
      <c r="F3" s="132"/>
      <c r="G3" s="132"/>
      <c r="H3" s="132"/>
      <c r="I3" s="133"/>
    </row>
    <row r="4" spans="1:10" ht="19.5" customHeight="1" x14ac:dyDescent="0.2">
      <c r="A4" s="356" t="s">
        <v>216</v>
      </c>
      <c r="B4" s="357"/>
      <c r="C4" s="357"/>
      <c r="D4" s="357"/>
      <c r="E4" s="357"/>
      <c r="F4" s="344" t="s">
        <v>17</v>
      </c>
      <c r="G4" s="345"/>
      <c r="H4" s="134" t="s">
        <v>33</v>
      </c>
      <c r="I4" s="135">
        <f ca="1">TODAY()</f>
        <v>46231</v>
      </c>
    </row>
    <row r="5" spans="1:10" ht="19.5" customHeight="1" x14ac:dyDescent="0.2">
      <c r="A5" s="358" t="s">
        <v>137</v>
      </c>
      <c r="B5" s="359"/>
      <c r="C5" s="359"/>
      <c r="D5" s="359"/>
      <c r="E5" s="359"/>
      <c r="F5" s="346" t="s">
        <v>10</v>
      </c>
      <c r="G5" s="347"/>
      <c r="H5" s="347"/>
      <c r="I5" s="348"/>
    </row>
    <row r="6" spans="1:10" ht="38.25" customHeight="1" x14ac:dyDescent="0.2">
      <c r="A6" s="361" t="s">
        <v>217</v>
      </c>
      <c r="B6" s="362"/>
      <c r="C6" s="362"/>
      <c r="D6" s="362"/>
      <c r="E6" s="363"/>
      <c r="F6" s="137" t="s">
        <v>8</v>
      </c>
      <c r="G6" s="138" t="s">
        <v>6</v>
      </c>
      <c r="H6" s="136" t="s">
        <v>16</v>
      </c>
      <c r="I6" s="139" t="s">
        <v>7</v>
      </c>
      <c r="J6" s="42" t="s">
        <v>150</v>
      </c>
    </row>
    <row r="7" spans="1:10" ht="60" customHeight="1" x14ac:dyDescent="0.2">
      <c r="A7" s="367" t="s">
        <v>199</v>
      </c>
      <c r="B7" s="368"/>
      <c r="C7" s="368"/>
      <c r="D7" s="368"/>
      <c r="E7" s="369"/>
      <c r="F7" s="334" t="s">
        <v>36</v>
      </c>
      <c r="G7" s="335"/>
      <c r="H7" s="336"/>
      <c r="I7" s="234">
        <v>0.05</v>
      </c>
      <c r="J7" s="42" t="s">
        <v>151</v>
      </c>
    </row>
    <row r="8" spans="1:10" ht="38.25" customHeight="1" thickBot="1" x14ac:dyDescent="0.25">
      <c r="A8" s="364" t="s">
        <v>152</v>
      </c>
      <c r="B8" s="365"/>
      <c r="C8" s="365"/>
      <c r="D8" s="365"/>
      <c r="E8" s="366"/>
      <c r="F8" s="140" t="s">
        <v>34</v>
      </c>
      <c r="G8" s="233">
        <v>0.24490000000000001</v>
      </c>
      <c r="H8" s="140" t="s">
        <v>35</v>
      </c>
      <c r="I8" s="232">
        <v>0.15240000000000001</v>
      </c>
      <c r="J8" s="42" t="s">
        <v>148</v>
      </c>
    </row>
    <row r="9" spans="1:10" ht="3.75" customHeight="1" thickBot="1" x14ac:dyDescent="0.25">
      <c r="A9" s="331"/>
      <c r="B9" s="332"/>
      <c r="C9" s="332"/>
      <c r="D9" s="332"/>
      <c r="E9" s="332"/>
      <c r="F9" s="332"/>
      <c r="G9" s="332"/>
      <c r="H9" s="332"/>
      <c r="I9" s="333"/>
    </row>
    <row r="10" spans="1:10" ht="36.75" thickBot="1" x14ac:dyDescent="0.25">
      <c r="A10" s="141" t="s">
        <v>0</v>
      </c>
      <c r="B10" s="142" t="s">
        <v>122</v>
      </c>
      <c r="C10" s="143" t="s">
        <v>5</v>
      </c>
      <c r="D10" s="143" t="s">
        <v>1</v>
      </c>
      <c r="E10" s="143" t="s">
        <v>3</v>
      </c>
      <c r="F10" s="143" t="s">
        <v>2</v>
      </c>
      <c r="G10" s="144" t="s">
        <v>37</v>
      </c>
      <c r="H10" s="144" t="s">
        <v>38</v>
      </c>
      <c r="I10" s="145" t="s">
        <v>9</v>
      </c>
    </row>
    <row r="11" spans="1:10" s="37" customFormat="1" ht="23.45" customHeight="1" x14ac:dyDescent="0.2">
      <c r="A11" s="146">
        <v>1</v>
      </c>
      <c r="B11" s="147"/>
      <c r="C11" s="148"/>
      <c r="D11" s="149" t="s">
        <v>18</v>
      </c>
      <c r="E11" s="150"/>
      <c r="F11" s="151"/>
      <c r="G11" s="151"/>
      <c r="H11" s="151">
        <f>ROUND(G11+(G11*$I$8),2)</f>
        <v>0</v>
      </c>
      <c r="I11" s="152">
        <f>SUM(I12:I15)</f>
        <v>14067.58815</v>
      </c>
      <c r="J11" s="48"/>
    </row>
    <row r="12" spans="1:10" s="37" customFormat="1" ht="69" customHeight="1" x14ac:dyDescent="0.2">
      <c r="A12" s="153" t="s">
        <v>59</v>
      </c>
      <c r="B12" s="154" t="s">
        <v>40</v>
      </c>
      <c r="C12" s="155" t="s">
        <v>20</v>
      </c>
      <c r="D12" s="156" t="s">
        <v>60</v>
      </c>
      <c r="E12" s="157" t="s">
        <v>54</v>
      </c>
      <c r="F12" s="158">
        <f>'Memória de Cálculo'!F11</f>
        <v>1</v>
      </c>
      <c r="G12" s="159">
        <v>1156.55</v>
      </c>
      <c r="H12" s="160">
        <f>ROUND(G12+(G12*$G$8),2)</f>
        <v>1439.79</v>
      </c>
      <c r="I12" s="161">
        <f>ROUND((F12*H12),2)</f>
        <v>1439.79</v>
      </c>
      <c r="J12" s="48"/>
    </row>
    <row r="13" spans="1:10" s="37" customFormat="1" ht="28.5" customHeight="1" x14ac:dyDescent="0.2">
      <c r="A13" s="153" t="s">
        <v>111</v>
      </c>
      <c r="B13" s="154" t="s">
        <v>40</v>
      </c>
      <c r="C13" s="155" t="s">
        <v>154</v>
      </c>
      <c r="D13" s="197" t="s">
        <v>153</v>
      </c>
      <c r="E13" s="157" t="s">
        <v>54</v>
      </c>
      <c r="F13" s="158">
        <f>'Memória de Cálculo'!F12</f>
        <v>19</v>
      </c>
      <c r="G13" s="159">
        <v>92.85</v>
      </c>
      <c r="H13" s="160">
        <f>ROUND(G13+(G13*$G$8),2)</f>
        <v>115.59</v>
      </c>
      <c r="I13" s="161">
        <f>ROUND((F13*H13),2)</f>
        <v>2196.21</v>
      </c>
      <c r="J13" s="48"/>
    </row>
    <row r="14" spans="1:10" s="37" customFormat="1" ht="28.5" customHeight="1" x14ac:dyDescent="0.2">
      <c r="A14" s="153" t="s">
        <v>155</v>
      </c>
      <c r="B14" s="154" t="s">
        <v>40</v>
      </c>
      <c r="C14" s="172" t="s">
        <v>141</v>
      </c>
      <c r="D14" s="195" t="s">
        <v>142</v>
      </c>
      <c r="E14" s="174" t="s">
        <v>119</v>
      </c>
      <c r="F14" s="238">
        <f>'Memória de Cálculo'!F13</f>
        <v>0.5</v>
      </c>
      <c r="G14" s="159" t="s">
        <v>46</v>
      </c>
      <c r="H14" s="160" t="s">
        <v>46</v>
      </c>
      <c r="I14" s="161">
        <f>(I12+I13+I15+I16)*0.5%</f>
        <v>2019.7881499999999</v>
      </c>
      <c r="J14" s="48"/>
    </row>
    <row r="15" spans="1:10" s="37" customFormat="1" ht="27.75" customHeight="1" x14ac:dyDescent="0.2">
      <c r="A15" s="153" t="s">
        <v>156</v>
      </c>
      <c r="B15" s="154" t="s">
        <v>40</v>
      </c>
      <c r="C15" s="172" t="s">
        <v>158</v>
      </c>
      <c r="D15" s="195" t="s">
        <v>157</v>
      </c>
      <c r="E15" s="174" t="s">
        <v>43</v>
      </c>
      <c r="F15" s="158">
        <f>'Memória de Cálculo'!F14</f>
        <v>10</v>
      </c>
      <c r="G15" s="159">
        <v>675.7</v>
      </c>
      <c r="H15" s="160">
        <f>ROUND(G15+(G15*$G$8),2)</f>
        <v>841.18</v>
      </c>
      <c r="I15" s="161">
        <f>ROUND((F15*H15),2)</f>
        <v>8411.7999999999993</v>
      </c>
      <c r="J15" s="48"/>
    </row>
    <row r="16" spans="1:10" ht="22.9" customHeight="1" x14ac:dyDescent="0.2">
      <c r="A16" s="162">
        <v>2</v>
      </c>
      <c r="B16" s="163"/>
      <c r="C16" s="164"/>
      <c r="D16" s="165" t="s">
        <v>161</v>
      </c>
      <c r="E16" s="166"/>
      <c r="F16" s="167"/>
      <c r="G16" s="168"/>
      <c r="H16" s="169"/>
      <c r="I16" s="170">
        <f>SUM(I17:I30)</f>
        <v>391909.82999999996</v>
      </c>
    </row>
    <row r="17" spans="1:12" ht="36" customHeight="1" x14ac:dyDescent="0.2">
      <c r="A17" s="171" t="s">
        <v>11</v>
      </c>
      <c r="B17" s="154" t="s">
        <v>21</v>
      </c>
      <c r="C17" s="172" t="s">
        <v>112</v>
      </c>
      <c r="D17" s="173" t="s">
        <v>120</v>
      </c>
      <c r="E17" s="174" t="s">
        <v>43</v>
      </c>
      <c r="F17" s="158">
        <f>'Memória de Cálculo'!F16</f>
        <v>3402.7000000000003</v>
      </c>
      <c r="G17" s="240">
        <v>1.81</v>
      </c>
      <c r="H17" s="160">
        <f>ROUND(G17+(G17*$G$8),2)</f>
        <v>2.25</v>
      </c>
      <c r="I17" s="161">
        <f t="shared" ref="I17:I18" si="0">ROUND((F17*H17),2)</f>
        <v>7656.08</v>
      </c>
    </row>
    <row r="18" spans="1:12" ht="46.5" customHeight="1" x14ac:dyDescent="0.2">
      <c r="A18" s="171" t="s">
        <v>12</v>
      </c>
      <c r="B18" s="154" t="s">
        <v>21</v>
      </c>
      <c r="C18" s="155" t="s">
        <v>160</v>
      </c>
      <c r="D18" s="173" t="s">
        <v>159</v>
      </c>
      <c r="E18" s="174" t="s">
        <v>42</v>
      </c>
      <c r="F18" s="158">
        <f>'Memória de Cálculo'!F17</f>
        <v>510.40500000000003</v>
      </c>
      <c r="G18" s="240">
        <v>16.66</v>
      </c>
      <c r="H18" s="160">
        <f t="shared" ref="H18:H25" si="1">ROUND(G18+(G18*$G$8),2)</f>
        <v>20.74</v>
      </c>
      <c r="I18" s="161">
        <f t="shared" si="0"/>
        <v>10585.8</v>
      </c>
    </row>
    <row r="19" spans="1:12" ht="36" customHeight="1" x14ac:dyDescent="0.2">
      <c r="A19" s="171" t="s">
        <v>13</v>
      </c>
      <c r="B19" s="154" t="s">
        <v>45</v>
      </c>
      <c r="C19" s="154" t="s">
        <v>46</v>
      </c>
      <c r="D19" s="173" t="s">
        <v>121</v>
      </c>
      <c r="E19" s="174" t="s">
        <v>42</v>
      </c>
      <c r="F19" s="158">
        <f>'Memória de Cálculo'!F18</f>
        <v>510.40500000000003</v>
      </c>
      <c r="G19" s="341" t="s">
        <v>139</v>
      </c>
      <c r="H19" s="342"/>
      <c r="I19" s="343"/>
    </row>
    <row r="20" spans="1:12" ht="36" customHeight="1" x14ac:dyDescent="0.2">
      <c r="A20" s="171" t="s">
        <v>14</v>
      </c>
      <c r="B20" s="154" t="s">
        <v>21</v>
      </c>
      <c r="C20" s="154">
        <v>5915321</v>
      </c>
      <c r="D20" s="173" t="s">
        <v>113</v>
      </c>
      <c r="E20" s="175" t="s">
        <v>39</v>
      </c>
      <c r="F20" s="158">
        <f>'Memória de Cálculo'!F19</f>
        <v>14791.536900000003</v>
      </c>
      <c r="G20" s="239">
        <v>0.68</v>
      </c>
      <c r="H20" s="160">
        <f t="shared" ref="H20" si="2">ROUND(G20+(G20*$G$8),2)</f>
        <v>0.85</v>
      </c>
      <c r="I20" s="161">
        <f t="shared" ref="I20" si="3">ROUND((F20*H20),2)</f>
        <v>12572.81</v>
      </c>
    </row>
    <row r="21" spans="1:12" ht="36" customHeight="1" x14ac:dyDescent="0.2">
      <c r="A21" s="171" t="s">
        <v>47</v>
      </c>
      <c r="B21" s="154" t="s">
        <v>40</v>
      </c>
      <c r="C21" s="154" t="s">
        <v>125</v>
      </c>
      <c r="D21" s="173" t="s">
        <v>126</v>
      </c>
      <c r="E21" s="174" t="s">
        <v>42</v>
      </c>
      <c r="F21" s="158">
        <f>'Memória de Cálculo'!F20</f>
        <v>510.40500000000003</v>
      </c>
      <c r="G21" s="239">
        <v>7.62</v>
      </c>
      <c r="H21" s="160">
        <f t="shared" ref="H21" si="4">ROUND(G21+(G21*$G$8),2)</f>
        <v>9.49</v>
      </c>
      <c r="I21" s="161">
        <f t="shared" ref="I21" si="5">ROUND((F21*H21),2)</f>
        <v>4843.74</v>
      </c>
    </row>
    <row r="22" spans="1:12" ht="36" customHeight="1" x14ac:dyDescent="0.2">
      <c r="A22" s="171" t="s">
        <v>114</v>
      </c>
      <c r="B22" s="154" t="s">
        <v>21</v>
      </c>
      <c r="C22" s="154">
        <v>5915321</v>
      </c>
      <c r="D22" s="173" t="s">
        <v>113</v>
      </c>
      <c r="E22" s="175" t="s">
        <v>39</v>
      </c>
      <c r="F22" s="158">
        <f>'Memória de Cálculo'!F21</f>
        <v>2776.6032000000005</v>
      </c>
      <c r="G22" s="341" t="s">
        <v>139</v>
      </c>
      <c r="H22" s="342"/>
      <c r="I22" s="343"/>
    </row>
    <row r="23" spans="1:12" ht="36" customHeight="1" x14ac:dyDescent="0.2">
      <c r="A23" s="171" t="s">
        <v>49</v>
      </c>
      <c r="B23" s="154" t="s">
        <v>21</v>
      </c>
      <c r="C23" s="154">
        <v>4011352</v>
      </c>
      <c r="D23" s="173" t="s">
        <v>115</v>
      </c>
      <c r="E23" s="175" t="s">
        <v>43</v>
      </c>
      <c r="F23" s="158">
        <f>'Memória de Cálculo'!F22</f>
        <v>3111.0400000000004</v>
      </c>
      <c r="G23" s="239">
        <v>0.68600000000000005</v>
      </c>
      <c r="H23" s="160">
        <f t="shared" si="1"/>
        <v>0.85</v>
      </c>
      <c r="I23" s="161">
        <f t="shared" ref="I23:I29" si="6">ROUND((F23*H23),2)</f>
        <v>2644.38</v>
      </c>
    </row>
    <row r="24" spans="1:12" ht="61.5" customHeight="1" x14ac:dyDescent="0.2">
      <c r="A24" s="171" t="s">
        <v>51</v>
      </c>
      <c r="B24" s="154" t="s">
        <v>44</v>
      </c>
      <c r="C24" s="154" t="s">
        <v>108</v>
      </c>
      <c r="D24" s="176" t="s">
        <v>195</v>
      </c>
      <c r="E24" s="175" t="s">
        <v>50</v>
      </c>
      <c r="F24" s="158">
        <f>'Memória de Cálculo'!F23</f>
        <v>3.7332480000000001</v>
      </c>
      <c r="G24" s="239">
        <v>2606.9299999999998</v>
      </c>
      <c r="H24" s="160">
        <f t="shared" ref="H24" si="7">ROUND(G24+(G24*$I$8),2)</f>
        <v>3004.23</v>
      </c>
      <c r="I24" s="161">
        <f t="shared" ref="I24" si="8">ROUND((F24*H24),2)</f>
        <v>11215.54</v>
      </c>
    </row>
    <row r="25" spans="1:12" ht="36" customHeight="1" x14ac:dyDescent="0.2">
      <c r="A25" s="171" t="s">
        <v>52</v>
      </c>
      <c r="B25" s="154" t="s">
        <v>21</v>
      </c>
      <c r="C25" s="154">
        <v>4011353</v>
      </c>
      <c r="D25" s="176" t="s">
        <v>110</v>
      </c>
      <c r="E25" s="175" t="s">
        <v>43</v>
      </c>
      <c r="F25" s="158">
        <f>'Memória de Cálculo'!F24</f>
        <v>3111.0400000000004</v>
      </c>
      <c r="G25" s="239">
        <v>0.47</v>
      </c>
      <c r="H25" s="160">
        <f t="shared" si="1"/>
        <v>0.59</v>
      </c>
      <c r="I25" s="161">
        <f t="shared" si="6"/>
        <v>1835.51</v>
      </c>
    </row>
    <row r="26" spans="1:12" ht="60.75" customHeight="1" x14ac:dyDescent="0.2">
      <c r="A26" s="171" t="s">
        <v>53</v>
      </c>
      <c r="B26" s="154" t="s">
        <v>44</v>
      </c>
      <c r="C26" s="154" t="s">
        <v>108</v>
      </c>
      <c r="D26" s="176" t="s">
        <v>196</v>
      </c>
      <c r="E26" s="175" t="s">
        <v>50</v>
      </c>
      <c r="F26" s="158">
        <f>'Memória de Cálculo'!F25</f>
        <v>1.5555200000000002</v>
      </c>
      <c r="G26" s="239">
        <v>3341.3</v>
      </c>
      <c r="H26" s="160">
        <f t="shared" ref="H26" si="9">ROUND(G26+(G26*$I$8),2)</f>
        <v>3850.51</v>
      </c>
      <c r="I26" s="161">
        <f t="shared" si="6"/>
        <v>5989.55</v>
      </c>
    </row>
    <row r="27" spans="1:12" ht="46.5" customHeight="1" x14ac:dyDescent="0.2">
      <c r="A27" s="171" t="s">
        <v>124</v>
      </c>
      <c r="B27" s="154" t="s">
        <v>44</v>
      </c>
      <c r="C27" s="154" t="s">
        <v>48</v>
      </c>
      <c r="D27" s="177" t="s">
        <v>198</v>
      </c>
      <c r="E27" s="175" t="s">
        <v>50</v>
      </c>
      <c r="F27" s="158">
        <f>'Memória de Cálculo'!F26</f>
        <v>5.2887680000000001</v>
      </c>
      <c r="G27" s="239">
        <f>(0.7662 * 502) + 49.5103</f>
        <v>434.14269999999999</v>
      </c>
      <c r="H27" s="160">
        <f t="shared" ref="H27" si="10">ROUND(G27+(G27*$I$8),2)</f>
        <v>500.31</v>
      </c>
      <c r="I27" s="161">
        <f t="shared" ref="I27:I28" si="11">ROUND((F27*H27),2)</f>
        <v>2646.02</v>
      </c>
      <c r="L27" s="42"/>
    </row>
    <row r="28" spans="1:12" ht="36" customHeight="1" x14ac:dyDescent="0.2">
      <c r="A28" s="171" t="s">
        <v>128</v>
      </c>
      <c r="B28" s="154" t="s">
        <v>40</v>
      </c>
      <c r="C28" s="178" t="s">
        <v>41</v>
      </c>
      <c r="D28" s="177" t="s">
        <v>127</v>
      </c>
      <c r="E28" s="175" t="s">
        <v>42</v>
      </c>
      <c r="F28" s="158">
        <f>'Memória de Cálculo'!F27</f>
        <v>93.33120000000001</v>
      </c>
      <c r="G28" s="239">
        <v>1811.95</v>
      </c>
      <c r="H28" s="160">
        <f>ROUND(G28+(G28*$G$8),2)</f>
        <v>2255.6999999999998</v>
      </c>
      <c r="I28" s="161">
        <f t="shared" si="11"/>
        <v>210527.19</v>
      </c>
    </row>
    <row r="29" spans="1:12" ht="36" customHeight="1" x14ac:dyDescent="0.2">
      <c r="A29" s="171" t="s">
        <v>162</v>
      </c>
      <c r="B29" s="179" t="s">
        <v>129</v>
      </c>
      <c r="C29" s="179">
        <v>5914612</v>
      </c>
      <c r="D29" s="156" t="s">
        <v>130</v>
      </c>
      <c r="E29" s="179" t="s">
        <v>131</v>
      </c>
      <c r="F29" s="158">
        <f>'Memória de Cálculo'!F28</f>
        <v>46590.935040000004</v>
      </c>
      <c r="G29" s="239">
        <v>0.9</v>
      </c>
      <c r="H29" s="160">
        <f>ROUND(G29+(G29*$G$8),2)</f>
        <v>1.1200000000000001</v>
      </c>
      <c r="I29" s="161">
        <f t="shared" si="6"/>
        <v>52181.85</v>
      </c>
    </row>
    <row r="30" spans="1:12" ht="45.75" customHeight="1" thickBot="1" x14ac:dyDescent="0.25">
      <c r="A30" s="171" t="s">
        <v>197</v>
      </c>
      <c r="B30" s="39" t="s">
        <v>163</v>
      </c>
      <c r="C30" s="179">
        <v>94267</v>
      </c>
      <c r="D30" s="40" t="s">
        <v>165</v>
      </c>
      <c r="E30" s="39" t="s">
        <v>164</v>
      </c>
      <c r="F30" s="158">
        <f>'Memória de Cálculo'!F29</f>
        <v>916.1</v>
      </c>
      <c r="G30" s="239">
        <v>60.69</v>
      </c>
      <c r="H30" s="160">
        <f>ROUND(G30+(G30*$G$8),2)</f>
        <v>75.55</v>
      </c>
      <c r="I30" s="161">
        <f t="shared" ref="I30" si="12">ROUND((F30*H30),2)</f>
        <v>69211.360000000001</v>
      </c>
    </row>
    <row r="31" spans="1:12" hidden="1" x14ac:dyDescent="0.2">
      <c r="A31" s="162">
        <v>3</v>
      </c>
      <c r="B31" s="163"/>
      <c r="C31" s="164"/>
      <c r="D31" s="165" t="s">
        <v>144</v>
      </c>
      <c r="E31" s="166"/>
      <c r="F31" s="167"/>
      <c r="G31" s="168"/>
      <c r="H31" s="169"/>
      <c r="I31" s="170">
        <f>SUM(I32:I37)</f>
        <v>0</v>
      </c>
      <c r="K31" s="93"/>
      <c r="L31" s="92"/>
    </row>
    <row r="32" spans="1:12" ht="24" hidden="1" x14ac:dyDescent="0.2">
      <c r="A32" s="153" t="s">
        <v>56</v>
      </c>
      <c r="B32" s="154" t="s">
        <v>40</v>
      </c>
      <c r="C32" s="180" t="s">
        <v>146</v>
      </c>
      <c r="D32" s="181" t="s">
        <v>166</v>
      </c>
      <c r="E32" s="182" t="s">
        <v>63</v>
      </c>
      <c r="F32" s="158"/>
      <c r="G32" s="236">
        <v>464.73</v>
      </c>
      <c r="H32" s="160">
        <f>ROUND(G32+(G32*$G$8),2)</f>
        <v>578.54</v>
      </c>
      <c r="I32" s="161">
        <f t="shared" ref="I32" si="13">ROUND((F32*H32),2)</f>
        <v>0</v>
      </c>
      <c r="K32" s="94"/>
    </row>
    <row r="33" spans="1:12" ht="24" hidden="1" x14ac:dyDescent="0.2">
      <c r="A33" s="153" t="s">
        <v>57</v>
      </c>
      <c r="B33" s="154" t="s">
        <v>21</v>
      </c>
      <c r="C33" s="180">
        <v>5213440</v>
      </c>
      <c r="D33" s="181" t="s">
        <v>106</v>
      </c>
      <c r="E33" s="182" t="s">
        <v>63</v>
      </c>
      <c r="F33" s="158"/>
      <c r="G33" s="187">
        <v>271.88</v>
      </c>
      <c r="H33" s="160">
        <f>ROUND(G33+(G33*$G$8),2)</f>
        <v>338.46</v>
      </c>
      <c r="I33" s="161">
        <f t="shared" ref="I33" si="14">ROUND((F33*H33),2)</f>
        <v>0</v>
      </c>
      <c r="K33" s="94"/>
    </row>
    <row r="34" spans="1:12" hidden="1" x14ac:dyDescent="0.2">
      <c r="A34" s="153" t="s">
        <v>58</v>
      </c>
      <c r="B34" s="184" t="s">
        <v>129</v>
      </c>
      <c r="C34" s="185"/>
      <c r="D34" s="186" t="s">
        <v>135</v>
      </c>
      <c r="E34" s="182" t="s">
        <v>63</v>
      </c>
      <c r="F34" s="158"/>
      <c r="G34" s="187"/>
      <c r="H34" s="160">
        <f t="shared" ref="H34:H37" si="15">ROUND(G34+(G34*$G$8),2)</f>
        <v>0</v>
      </c>
      <c r="I34" s="161">
        <f t="shared" ref="I34:I37" si="16">ROUND((F34*H34),2)</f>
        <v>0</v>
      </c>
      <c r="K34" s="94"/>
    </row>
    <row r="35" spans="1:12" ht="24" hidden="1" x14ac:dyDescent="0.2">
      <c r="A35" s="153" t="s">
        <v>134</v>
      </c>
      <c r="B35" s="184" t="s">
        <v>129</v>
      </c>
      <c r="C35" s="185" t="s">
        <v>132</v>
      </c>
      <c r="D35" s="186" t="s">
        <v>133</v>
      </c>
      <c r="E35" s="182" t="s">
        <v>63</v>
      </c>
      <c r="F35" s="158"/>
      <c r="G35" s="187">
        <v>271.91000000000003</v>
      </c>
      <c r="H35" s="160">
        <f t="shared" si="15"/>
        <v>338.5</v>
      </c>
      <c r="I35" s="161">
        <f t="shared" si="16"/>
        <v>0</v>
      </c>
      <c r="K35" s="94"/>
    </row>
    <row r="36" spans="1:12" ht="36" hidden="1" x14ac:dyDescent="0.2">
      <c r="A36" s="153" t="s">
        <v>136</v>
      </c>
      <c r="B36" s="154" t="s">
        <v>21</v>
      </c>
      <c r="C36" s="180">
        <v>5213863</v>
      </c>
      <c r="D36" s="181" t="s">
        <v>107</v>
      </c>
      <c r="E36" s="182" t="s">
        <v>63</v>
      </c>
      <c r="F36" s="158"/>
      <c r="G36" s="187">
        <v>454.98</v>
      </c>
      <c r="H36" s="160">
        <f t="shared" si="15"/>
        <v>566.4</v>
      </c>
      <c r="I36" s="161">
        <f t="shared" si="16"/>
        <v>0</v>
      </c>
      <c r="K36" s="95"/>
    </row>
    <row r="37" spans="1:12" ht="21" hidden="1" customHeight="1" thickBot="1" x14ac:dyDescent="0.25">
      <c r="A37" s="153" t="s">
        <v>145</v>
      </c>
      <c r="B37" s="154" t="s">
        <v>21</v>
      </c>
      <c r="C37" s="180">
        <v>5213401</v>
      </c>
      <c r="D37" s="181" t="s">
        <v>123</v>
      </c>
      <c r="E37" s="182" t="s">
        <v>43</v>
      </c>
      <c r="F37" s="158"/>
      <c r="G37" s="187">
        <v>27.25</v>
      </c>
      <c r="H37" s="160">
        <f t="shared" si="15"/>
        <v>33.92</v>
      </c>
      <c r="I37" s="161">
        <f t="shared" si="16"/>
        <v>0</v>
      </c>
      <c r="K37" s="95"/>
    </row>
    <row r="38" spans="1:12" ht="18.75" customHeight="1" thickBot="1" x14ac:dyDescent="0.25">
      <c r="A38" s="370" t="s">
        <v>15</v>
      </c>
      <c r="B38" s="371"/>
      <c r="C38" s="371"/>
      <c r="D38" s="371"/>
      <c r="E38" s="371"/>
      <c r="F38" s="371"/>
      <c r="G38" s="371"/>
      <c r="H38" s="371"/>
      <c r="I38" s="183">
        <f>I11+I16</f>
        <v>405977.41814999998</v>
      </c>
      <c r="J38" s="196"/>
      <c r="K38" s="129"/>
      <c r="L38" s="130"/>
    </row>
    <row r="39" spans="1:12" ht="14.25" customHeight="1" x14ac:dyDescent="0.2">
      <c r="A39" s="51"/>
      <c r="B39" s="52"/>
      <c r="C39" s="52"/>
      <c r="D39" s="52"/>
      <c r="E39" s="52"/>
      <c r="F39" s="52"/>
      <c r="G39" s="52"/>
      <c r="H39" s="52"/>
      <c r="I39" s="53"/>
    </row>
    <row r="40" spans="1:12" ht="14.25" customHeight="1" x14ac:dyDescent="0.2">
      <c r="A40" s="51"/>
      <c r="B40" s="52"/>
      <c r="C40" s="52"/>
      <c r="D40" s="52"/>
      <c r="E40" s="52"/>
      <c r="F40" s="52"/>
      <c r="G40" s="52"/>
      <c r="H40" s="52"/>
      <c r="I40" s="53"/>
      <c r="K40" s="45"/>
    </row>
    <row r="41" spans="1:12" ht="14.25" customHeight="1" x14ac:dyDescent="0.2">
      <c r="A41" s="51"/>
      <c r="B41" s="52"/>
      <c r="C41" s="52"/>
      <c r="D41" s="52"/>
      <c r="E41" s="52"/>
      <c r="F41" s="52"/>
      <c r="G41" s="52"/>
      <c r="H41" s="52"/>
      <c r="I41" s="53"/>
      <c r="K41" s="46"/>
    </row>
    <row r="42" spans="1:12" ht="14.25" customHeight="1" x14ac:dyDescent="0.2">
      <c r="A42" s="51"/>
      <c r="B42" s="52"/>
      <c r="C42" s="52"/>
      <c r="D42" s="52"/>
      <c r="E42" s="52"/>
      <c r="F42" s="52"/>
      <c r="G42" s="52"/>
      <c r="H42" s="52"/>
      <c r="I42" s="53"/>
      <c r="K42" s="2"/>
    </row>
    <row r="43" spans="1:12" ht="14.25" customHeight="1" x14ac:dyDescent="0.2">
      <c r="A43" s="51"/>
      <c r="B43" s="52"/>
      <c r="C43" s="52"/>
      <c r="D43" s="52"/>
      <c r="E43" s="52"/>
      <c r="F43" s="52"/>
      <c r="G43" s="52"/>
      <c r="H43" s="52"/>
      <c r="I43" s="53"/>
      <c r="K43" s="96"/>
    </row>
    <row r="44" spans="1:12" ht="11.25" customHeight="1" x14ac:dyDescent="0.2">
      <c r="A44" s="54"/>
      <c r="B44" s="55"/>
      <c r="C44" s="55"/>
      <c r="D44" s="55"/>
      <c r="E44" s="55"/>
      <c r="F44" s="55"/>
      <c r="G44" s="55"/>
      <c r="H44" s="55"/>
      <c r="I44" s="56"/>
    </row>
    <row r="45" spans="1:12" ht="11.25" customHeight="1" x14ac:dyDescent="0.2">
      <c r="A45" s="54"/>
      <c r="B45" s="55"/>
      <c r="C45" s="339"/>
      <c r="D45" s="339"/>
      <c r="E45" s="55"/>
      <c r="F45" s="337"/>
      <c r="G45" s="337"/>
      <c r="H45" s="57"/>
      <c r="I45" s="56"/>
    </row>
    <row r="46" spans="1:12" x14ac:dyDescent="0.2">
      <c r="A46" s="54"/>
      <c r="B46" s="55"/>
      <c r="C46" s="338" t="s">
        <v>167</v>
      </c>
      <c r="D46" s="338"/>
      <c r="E46" s="55"/>
      <c r="F46" s="360"/>
      <c r="G46" s="360"/>
      <c r="H46" s="57"/>
      <c r="I46" s="56"/>
    </row>
    <row r="47" spans="1:12" x14ac:dyDescent="0.2">
      <c r="A47" s="58"/>
      <c r="B47" s="59"/>
      <c r="C47" s="340" t="s">
        <v>168</v>
      </c>
      <c r="D47" s="340"/>
      <c r="E47" s="59"/>
      <c r="F47" s="337"/>
      <c r="G47" s="337"/>
      <c r="H47" s="59"/>
      <c r="I47" s="60"/>
    </row>
    <row r="48" spans="1:12" x14ac:dyDescent="0.2">
      <c r="A48" s="58"/>
      <c r="B48" s="59"/>
      <c r="C48" s="59"/>
      <c r="D48" s="59"/>
      <c r="E48" s="59"/>
      <c r="F48" s="59"/>
      <c r="G48" s="59"/>
      <c r="H48" s="59"/>
      <c r="I48" s="60"/>
    </row>
    <row r="49" spans="1:12" x14ac:dyDescent="0.2">
      <c r="A49" s="58"/>
      <c r="B49" s="59"/>
      <c r="C49" s="59"/>
      <c r="D49" s="59"/>
      <c r="E49" s="59"/>
      <c r="F49" s="59"/>
      <c r="G49" s="59"/>
      <c r="H49" s="59"/>
      <c r="I49" s="60"/>
    </row>
    <row r="50" spans="1:12" ht="15" x14ac:dyDescent="0.25">
      <c r="A50" s="58"/>
      <c r="B50" s="59"/>
      <c r="C50" s="59"/>
      <c r="D50" s="59"/>
      <c r="E50" s="59"/>
      <c r="F50" s="59"/>
      <c r="G50" s="59"/>
      <c r="H50" s="59"/>
      <c r="I50" s="60"/>
      <c r="L50" s="188"/>
    </row>
    <row r="51" spans="1:12" ht="15" x14ac:dyDescent="0.25">
      <c r="A51" s="58"/>
      <c r="B51" s="59"/>
      <c r="C51" s="59"/>
      <c r="D51" s="59"/>
      <c r="E51" s="59"/>
      <c r="F51" s="59"/>
      <c r="G51" s="59"/>
      <c r="H51" s="59"/>
      <c r="I51" s="60"/>
      <c r="K51" s="36"/>
      <c r="L51" s="189"/>
    </row>
    <row r="52" spans="1:12" ht="15" x14ac:dyDescent="0.25">
      <c r="A52" s="58"/>
      <c r="B52" s="59"/>
      <c r="C52" s="59"/>
      <c r="D52" s="59"/>
      <c r="E52" s="59"/>
      <c r="F52" s="59"/>
      <c r="G52" s="59"/>
      <c r="H52" s="59"/>
      <c r="I52" s="60"/>
      <c r="L52" s="190"/>
    </row>
    <row r="53" spans="1:12" ht="11.25" customHeight="1" x14ac:dyDescent="0.25">
      <c r="A53" s="54"/>
      <c r="B53" s="55"/>
      <c r="C53" s="339"/>
      <c r="D53" s="339"/>
      <c r="E53" s="55"/>
      <c r="F53" s="337"/>
      <c r="G53" s="337"/>
      <c r="H53" s="57"/>
      <c r="I53" s="56"/>
      <c r="L53" s="191"/>
    </row>
    <row r="54" spans="1:12" x14ac:dyDescent="0.2">
      <c r="A54" s="54"/>
      <c r="B54" s="55"/>
      <c r="C54" s="338" t="s">
        <v>218</v>
      </c>
      <c r="D54" s="338"/>
      <c r="E54" s="55"/>
      <c r="F54" s="337"/>
      <c r="G54" s="337"/>
      <c r="H54" s="57"/>
      <c r="I54" s="56"/>
      <c r="L54" s="3"/>
    </row>
    <row r="55" spans="1:12" x14ac:dyDescent="0.2">
      <c r="A55" s="54"/>
      <c r="B55" s="55"/>
      <c r="C55" s="337" t="s">
        <v>118</v>
      </c>
      <c r="D55" s="337"/>
      <c r="E55" s="55"/>
      <c r="F55" s="57"/>
      <c r="G55" s="57"/>
      <c r="H55" s="57"/>
      <c r="I55" s="56"/>
      <c r="L55" s="192"/>
    </row>
    <row r="56" spans="1:12" x14ac:dyDescent="0.2">
      <c r="A56" s="54"/>
      <c r="B56" s="55"/>
      <c r="C56" s="57"/>
      <c r="D56" s="57"/>
      <c r="E56" s="55"/>
      <c r="F56" s="57"/>
      <c r="G56" s="57"/>
      <c r="H56" s="57"/>
      <c r="I56" s="56"/>
    </row>
    <row r="57" spans="1:12" ht="11.25" customHeight="1" thickBot="1" x14ac:dyDescent="0.25">
      <c r="A57" s="61"/>
      <c r="B57" s="62"/>
      <c r="C57" s="62"/>
      <c r="D57" s="62"/>
      <c r="E57" s="62"/>
      <c r="F57" s="62"/>
      <c r="G57" s="62"/>
      <c r="H57" s="62"/>
      <c r="I57" s="63"/>
    </row>
    <row r="58" spans="1:12" ht="12" customHeight="1" x14ac:dyDescent="0.2"/>
    <row r="59" spans="1:12" ht="14.1" customHeight="1" x14ac:dyDescent="0.2"/>
    <row r="60" spans="1:12" ht="18" customHeight="1" x14ac:dyDescent="0.2"/>
  </sheetData>
  <mergeCells count="26">
    <mergeCell ref="C55:D55"/>
    <mergeCell ref="F4:G4"/>
    <mergeCell ref="F5:I5"/>
    <mergeCell ref="A2:I2"/>
    <mergeCell ref="D1:I1"/>
    <mergeCell ref="A1:C1"/>
    <mergeCell ref="A4:E4"/>
    <mergeCell ref="A5:E5"/>
    <mergeCell ref="C46:D46"/>
    <mergeCell ref="F46:G46"/>
    <mergeCell ref="F45:G45"/>
    <mergeCell ref="C45:D45"/>
    <mergeCell ref="A6:E6"/>
    <mergeCell ref="A8:E8"/>
    <mergeCell ref="A7:E7"/>
    <mergeCell ref="A38:H38"/>
    <mergeCell ref="A9:I9"/>
    <mergeCell ref="F7:H7"/>
    <mergeCell ref="F53:G53"/>
    <mergeCell ref="C54:D54"/>
    <mergeCell ref="F54:G54"/>
    <mergeCell ref="C53:D53"/>
    <mergeCell ref="F47:G47"/>
    <mergeCell ref="C47:D47"/>
    <mergeCell ref="G19:I19"/>
    <mergeCell ref="G22:I22"/>
  </mergeCells>
  <phoneticPr fontId="2" type="noConversion"/>
  <printOptions horizontalCentered="1"/>
  <pageMargins left="0.51181102362204722" right="0.23622047244094491" top="0.59055118110236227" bottom="0.15748031496062992" header="0.56000000000000005" footer="0.15748031496062992"/>
  <pageSetup paperSize="9" scale="52" orientation="portrait" horizontalDpi="360" verticalDpi="36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StaticMetafile" shapeId="4097" r:id="rId4">
          <objectPr defaultSize="0" autoPict="0" r:id="rId5">
            <anchor moveWithCells="1" sizeWithCells="1">
              <from>
                <xdr:col>0</xdr:col>
                <xdr:colOff>133350</xdr:colOff>
                <xdr:row>0</xdr:row>
                <xdr:rowOff>142875</xdr:rowOff>
              </from>
              <to>
                <xdr:col>2</xdr:col>
                <xdr:colOff>9525</xdr:colOff>
                <xdr:row>0</xdr:row>
                <xdr:rowOff>1057275</xdr:rowOff>
              </to>
            </anchor>
          </objectPr>
        </oleObject>
      </mc:Choice>
      <mc:Fallback>
        <oleObject progId="StaticMetafile" shapeId="4097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showGridLines="0" showZeros="0" view="pageBreakPreview" topLeftCell="A13" zoomScaleNormal="85" zoomScaleSheetLayoutView="100" workbookViewId="0">
      <selection activeCell="G13" sqref="G13:I13"/>
    </sheetView>
  </sheetViews>
  <sheetFormatPr defaultColWidth="9.140625" defaultRowHeight="12.75" x14ac:dyDescent="0.2"/>
  <cols>
    <col min="1" max="1" width="5.42578125" style="1" bestFit="1" customWidth="1"/>
    <col min="2" max="2" width="12.85546875" style="1" customWidth="1"/>
    <col min="3" max="3" width="10.7109375" style="1" bestFit="1" customWidth="1"/>
    <col min="4" max="4" width="49.28515625" style="1" customWidth="1"/>
    <col min="5" max="5" width="11.140625" style="1" customWidth="1"/>
    <col min="6" max="6" width="14.140625" style="118" customWidth="1"/>
    <col min="7" max="8" width="29.42578125" style="1" customWidth="1"/>
    <col min="9" max="9" width="22" style="1" customWidth="1"/>
    <col min="10" max="10" width="15" style="42" customWidth="1"/>
    <col min="11" max="11" width="13.7109375" style="42" bestFit="1" customWidth="1"/>
    <col min="12" max="16384" width="9.140625" style="1"/>
  </cols>
  <sheetData>
    <row r="1" spans="1:16" ht="103.5" customHeight="1" x14ac:dyDescent="0.2">
      <c r="A1" s="393"/>
      <c r="B1" s="394"/>
      <c r="C1" s="394"/>
      <c r="D1" s="395"/>
      <c r="E1" s="395"/>
      <c r="F1" s="395"/>
      <c r="G1" s="395"/>
      <c r="H1" s="395"/>
      <c r="I1" s="396"/>
    </row>
    <row r="2" spans="1:16" ht="24.75" customHeight="1" x14ac:dyDescent="0.2">
      <c r="A2" s="397" t="s">
        <v>19</v>
      </c>
      <c r="B2" s="398"/>
      <c r="C2" s="398"/>
      <c r="D2" s="398"/>
      <c r="E2" s="398"/>
      <c r="F2" s="398"/>
      <c r="G2" s="398"/>
      <c r="H2" s="398"/>
      <c r="I2" s="399"/>
    </row>
    <row r="3" spans="1:16" x14ac:dyDescent="0.2">
      <c r="A3" s="86"/>
      <c r="B3" s="43"/>
      <c r="C3" s="43"/>
      <c r="D3" s="43"/>
      <c r="E3" s="43"/>
      <c r="F3" s="116"/>
      <c r="G3" s="43"/>
      <c r="H3" s="43"/>
      <c r="I3" s="44"/>
    </row>
    <row r="4" spans="1:16" ht="23.25" customHeight="1" x14ac:dyDescent="0.2">
      <c r="A4" s="400" t="str">
        <f>'Planilha Orçamentária'!A4:E4</f>
        <v>PREFEITURA MUNICIPAL DE PINTÓPOLIS</v>
      </c>
      <c r="B4" s="401"/>
      <c r="C4" s="401"/>
      <c r="D4" s="401"/>
      <c r="E4" s="401"/>
      <c r="F4" s="402" t="s">
        <v>17</v>
      </c>
      <c r="G4" s="402"/>
      <c r="H4" s="74" t="s">
        <v>33</v>
      </c>
      <c r="I4" s="87">
        <f ca="1">TODAY()</f>
        <v>46231</v>
      </c>
    </row>
    <row r="5" spans="1:16" ht="23.25" customHeight="1" x14ac:dyDescent="0.2">
      <c r="A5" s="400" t="str">
        <f>'Planilha Orçamentária'!A5:E5</f>
        <v>OBRA: PAVIMENTAÇÃO ASFÁLTICA EM CBUQ</v>
      </c>
      <c r="B5" s="401"/>
      <c r="C5" s="401"/>
      <c r="D5" s="401"/>
      <c r="E5" s="401"/>
      <c r="F5" s="402" t="s">
        <v>10</v>
      </c>
      <c r="G5" s="402"/>
      <c r="H5" s="402"/>
      <c r="I5" s="403"/>
    </row>
    <row r="6" spans="1:16" ht="45" customHeight="1" x14ac:dyDescent="0.2">
      <c r="A6" s="386" t="str">
        <f>'Planilha Orçamentária'!A6:E6</f>
        <v>LOCAL: PROLONGAMENTO DA AV. JK,  BAIRRO VICENTE CARDOSO, MUNICÍPIO DE PINTÓPOLIS-MG</v>
      </c>
      <c r="B6" s="387"/>
      <c r="C6" s="387"/>
      <c r="D6" s="387"/>
      <c r="E6" s="387"/>
      <c r="F6" s="117" t="s">
        <v>8</v>
      </c>
      <c r="G6" s="73" t="s">
        <v>6</v>
      </c>
      <c r="H6" s="73" t="s">
        <v>16</v>
      </c>
      <c r="I6" s="88" t="s">
        <v>7</v>
      </c>
    </row>
    <row r="7" spans="1:16" ht="56.25" customHeight="1" x14ac:dyDescent="0.2">
      <c r="A7" s="386" t="str">
        <f>'Planilha Orçamentária'!A7:E7</f>
        <v>REGIÃO/MÊS DE REFERÊNCIA: REGIÃO NORTE - SICOR/SEINFRA JULHO/2025 SEM DESONERAÇÃO;  
SICRO-MG - JULHO/2025 - SEM DESONERAÇÃO; SINAPI-MG SETEMBRO/2025 SEM DESONERAÇÃO; ATA DE REGISTRO DE PREÇOS ARP 231/2024 - DER-MG, JUNHO DE 2025; TABELA DE FRETE DE MATERIAL BETUMINOSO - DER/MG - AGOSTO DE 2025.</v>
      </c>
      <c r="B7" s="387"/>
      <c r="C7" s="387"/>
      <c r="D7" s="387"/>
      <c r="E7" s="387"/>
      <c r="F7" s="388" t="s">
        <v>36</v>
      </c>
      <c r="G7" s="388"/>
      <c r="H7" s="388"/>
      <c r="I7" s="89">
        <f>'Planilha Orçamentária'!I7</f>
        <v>0.05</v>
      </c>
    </row>
    <row r="8" spans="1:16" x14ac:dyDescent="0.2">
      <c r="A8" s="390"/>
      <c r="B8" s="391"/>
      <c r="C8" s="391"/>
      <c r="D8" s="391"/>
      <c r="E8" s="391"/>
      <c r="F8" s="391"/>
      <c r="G8" s="391"/>
      <c r="H8" s="391"/>
      <c r="I8" s="392"/>
    </row>
    <row r="9" spans="1:16" ht="18" customHeight="1" x14ac:dyDescent="0.2">
      <c r="A9" s="90" t="s">
        <v>0</v>
      </c>
      <c r="B9" s="73" t="s">
        <v>122</v>
      </c>
      <c r="C9" s="73" t="s">
        <v>5</v>
      </c>
      <c r="D9" s="73" t="s">
        <v>1</v>
      </c>
      <c r="E9" s="73" t="s">
        <v>3</v>
      </c>
      <c r="F9" s="117" t="s">
        <v>2</v>
      </c>
      <c r="G9" s="388" t="s">
        <v>55</v>
      </c>
      <c r="H9" s="388"/>
      <c r="I9" s="389"/>
      <c r="L9" s="1" t="s">
        <v>169</v>
      </c>
      <c r="N9" s="1">
        <f>74+6+112+6+77+6+183+6+134+7</f>
        <v>611</v>
      </c>
      <c r="P9" s="1">
        <v>25</v>
      </c>
    </row>
    <row r="10" spans="1:16" s="37" customFormat="1" x14ac:dyDescent="0.2">
      <c r="A10" s="91">
        <f>'Planilha Orçamentária'!A11</f>
        <v>1</v>
      </c>
      <c r="B10" s="65"/>
      <c r="C10" s="66"/>
      <c r="D10" s="67" t="str">
        <f>'Planilha Orçamentária'!D11</f>
        <v>SERVIÇOS PRELIMINARES</v>
      </c>
      <c r="E10" s="68"/>
      <c r="F10" s="69"/>
      <c r="G10" s="383"/>
      <c r="H10" s="384"/>
      <c r="I10" s="385"/>
      <c r="J10" s="48"/>
      <c r="K10" s="48"/>
      <c r="L10" s="37" t="s">
        <v>170</v>
      </c>
      <c r="N10" s="37">
        <v>7</v>
      </c>
      <c r="P10" s="37">
        <v>7</v>
      </c>
    </row>
    <row r="11" spans="1:16" s="37" customFormat="1" ht="76.5" customHeight="1" x14ac:dyDescent="0.2">
      <c r="A11" s="41" t="str">
        <f>'Planilha Orçamentária'!A12</f>
        <v>1.1</v>
      </c>
      <c r="B11" s="39" t="str">
        <f>'Planilha Orçamentária'!B12</f>
        <v>SICOR/
SEINFRA</v>
      </c>
      <c r="C11" s="39" t="str">
        <f>'Planilha Orçamentária'!C12</f>
        <v>ED-28427</v>
      </c>
      <c r="D11" s="40" t="str">
        <f>'Planilha Orçamentária'!D12</f>
        <v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v>
      </c>
      <c r="E11" s="39" t="str">
        <f>'Planilha Orçamentária'!E12</f>
        <v>UNID</v>
      </c>
      <c r="F11" s="97">
        <v>1</v>
      </c>
      <c r="G11" s="373" t="s">
        <v>61</v>
      </c>
      <c r="H11" s="373"/>
      <c r="I11" s="374"/>
      <c r="J11" s="48"/>
      <c r="K11" s="48"/>
    </row>
    <row r="12" spans="1:16" s="37" customFormat="1" ht="66" customHeight="1" x14ac:dyDescent="0.2">
      <c r="A12" s="41" t="str">
        <f>'Planilha Orçamentária'!A13</f>
        <v>1.2</v>
      </c>
      <c r="B12" s="39" t="str">
        <f>'Planilha Orçamentária'!B13</f>
        <v>SICOR/
SEINFRA</v>
      </c>
      <c r="C12" s="39" t="str">
        <f>'Planilha Orçamentária'!C13</f>
        <v xml:space="preserve"> ED-50274</v>
      </c>
      <c r="D12" s="40" t="str">
        <f>'Planilha Orçamentária'!D13</f>
        <v xml:space="preserve"> LOCAÇÃO TOPOGRÁFICA PARA ATÉ VINTE (20) PONTOS REFERENCIAIS, INCLUSIVE ESTACA (PIQUETE) DE MARCAÇÃO</v>
      </c>
      <c r="E12" s="39" t="str">
        <f>'Planilha Orçamentária'!E13</f>
        <v>UNID</v>
      </c>
      <c r="F12" s="97">
        <v>19</v>
      </c>
      <c r="G12" s="372" t="s">
        <v>227</v>
      </c>
      <c r="H12" s="373"/>
      <c r="I12" s="374"/>
      <c r="J12" s="48"/>
      <c r="K12" s="48"/>
    </row>
    <row r="13" spans="1:16" s="37" customFormat="1" ht="33.75" x14ac:dyDescent="0.2">
      <c r="A13" s="41" t="str">
        <f>'Planilha Orçamentária'!A14</f>
        <v>1.3</v>
      </c>
      <c r="B13" s="39" t="str">
        <f>'Planilha Orçamentária'!B14</f>
        <v>SICOR/
SEINFRA</v>
      </c>
      <c r="C13" s="193" t="str">
        <f>'Planilha Orçamentária'!C14</f>
        <v xml:space="preserve"> ED-50392</v>
      </c>
      <c r="D13" s="194" t="str">
        <f>'Planilha Orçamentária'!D14</f>
        <v xml:space="preserve"> MOBILIZAÇÃO E DESMOBILIZAÇÃO DE OBRA EM CENTRO URBANO
 OU REGIÃO LIMÍTROFE COM VALOR ATÉ 1.000.000,0</v>
      </c>
      <c r="E13" s="193" t="str">
        <f>'Planilha Orçamentária'!E14</f>
        <v>%</v>
      </c>
      <c r="F13" s="97">
        <v>0.5</v>
      </c>
      <c r="G13" s="372" t="s">
        <v>143</v>
      </c>
      <c r="H13" s="373"/>
      <c r="I13" s="374"/>
      <c r="J13" s="48"/>
      <c r="K13" s="48"/>
    </row>
    <row r="14" spans="1:16" s="37" customFormat="1" ht="33.75" x14ac:dyDescent="0.2">
      <c r="A14" s="41" t="str">
        <f>'Planilha Orçamentária'!A15</f>
        <v>1.4</v>
      </c>
      <c r="B14" s="39" t="str">
        <f>'Planilha Orçamentária'!B15</f>
        <v>SICOR/
SEINFRA</v>
      </c>
      <c r="C14" s="193" t="str">
        <f>'Planilha Orçamentária'!C15</f>
        <v>ED-50135</v>
      </c>
      <c r="D14" s="194" t="str">
        <f>'Planilha Orçamentária'!D15</f>
        <v xml:space="preserve">BARRACÃO DE OBRA, EM CHAPA DE COMPENSADO RESINADO, INCLUSIVE INSTALAÇÕES SANITÁRIAS E MOBILIÁRIO - PADRÃO DER-MG </v>
      </c>
      <c r="E14" s="193" t="str">
        <f>'Planilha Orçamentária'!E15</f>
        <v>M2</v>
      </c>
      <c r="F14" s="97">
        <v>10</v>
      </c>
      <c r="G14" s="377" t="s">
        <v>200</v>
      </c>
      <c r="H14" s="378"/>
      <c r="I14" s="379"/>
      <c r="J14" s="48"/>
      <c r="K14" s="48"/>
    </row>
    <row r="15" spans="1:16" x14ac:dyDescent="0.2">
      <c r="A15" s="91">
        <f>'Planilha Orçamentária'!A16</f>
        <v>2</v>
      </c>
      <c r="B15" s="65"/>
      <c r="C15" s="66"/>
      <c r="D15" s="67" t="str">
        <f>'Planilha Orçamentária'!D16</f>
        <v>PAVIMENTAÇÃO ASFÁLTICA E DRENAGEM SUPERFICIAL</v>
      </c>
      <c r="E15" s="70"/>
      <c r="F15" s="71"/>
      <c r="G15" s="380"/>
      <c r="H15" s="381"/>
      <c r="I15" s="382"/>
    </row>
    <row r="16" spans="1:16" ht="78.599999999999994" customHeight="1" x14ac:dyDescent="0.2">
      <c r="A16" s="41" t="str">
        <f>'Planilha Orçamentária'!A17</f>
        <v>2.1</v>
      </c>
      <c r="B16" s="39" t="str">
        <f>'Planilha Orçamentária'!B17</f>
        <v>SICRO/DNIT</v>
      </c>
      <c r="C16" s="39" t="str">
        <f>'Planilha Orçamentária'!C17</f>
        <v>4011209</v>
      </c>
      <c r="D16" s="40" t="str">
        <f>'Planilha Orçamentária'!D17</f>
        <v>REGULARIZAÇÃO DO SUBLEITO - 100% PROCTOR INTERMEDIÁRIO</v>
      </c>
      <c r="E16" s="39" t="str">
        <f>'Planilha Orçamentária'!E17</f>
        <v>M2</v>
      </c>
      <c r="F16" s="97">
        <f>(486.1*7)</f>
        <v>3402.7000000000003</v>
      </c>
      <c r="G16" s="372" t="s">
        <v>228</v>
      </c>
      <c r="H16" s="373"/>
      <c r="I16" s="374"/>
      <c r="J16" s="47" t="s">
        <v>201</v>
      </c>
    </row>
    <row r="17" spans="1:12" ht="59.45" customHeight="1" x14ac:dyDescent="0.2">
      <c r="A17" s="41" t="str">
        <f>'Planilha Orçamentária'!A18</f>
        <v>2.2</v>
      </c>
      <c r="B17" s="39" t="str">
        <f>'Planilha Orçamentária'!B18</f>
        <v>SICRO/DNIT</v>
      </c>
      <c r="C17" s="39" t="str">
        <f>'Planilha Orçamentária'!C18</f>
        <v>4011219</v>
      </c>
      <c r="D17" s="40" t="str">
        <f>'Planilha Orçamentária'!D18</f>
        <v>BASE DE SOLO ESTABILIZADO GRANULOMETRICAMENTE SEM MISTURA COM MATERIAL DE JAZIDA - 100% PROCTOR MODIFICADO</v>
      </c>
      <c r="E17" s="39" t="str">
        <f>'Planilha Orçamentária'!E18</f>
        <v>M3</v>
      </c>
      <c r="F17" s="97">
        <f>F16*0.15</f>
        <v>510.40500000000003</v>
      </c>
      <c r="G17" s="372" t="s">
        <v>219</v>
      </c>
      <c r="H17" s="373"/>
      <c r="I17" s="374"/>
      <c r="J17" s="47"/>
    </row>
    <row r="18" spans="1:12" ht="53.45" customHeight="1" x14ac:dyDescent="0.2">
      <c r="A18" s="41" t="str">
        <f>'Planilha Orçamentária'!A19</f>
        <v>2.3</v>
      </c>
      <c r="B18" s="39" t="str">
        <f>'Planilha Orçamentária'!B19</f>
        <v>PREFEITURA</v>
      </c>
      <c r="C18" s="39" t="str">
        <f>'Planilha Orçamentária'!C19</f>
        <v>-</v>
      </c>
      <c r="D18" s="40" t="str">
        <f>'Planilha Orçamentária'!D19</f>
        <v xml:space="preserve">AQUISIÇÃO DE MATERIAL DE JAZIDA PARA BASE </v>
      </c>
      <c r="E18" s="39" t="str">
        <f>'Planilha Orçamentária'!E19</f>
        <v>M3</v>
      </c>
      <c r="F18" s="97">
        <f>F17</f>
        <v>510.40500000000003</v>
      </c>
      <c r="G18" s="372" t="s">
        <v>219</v>
      </c>
      <c r="H18" s="373"/>
      <c r="I18" s="374"/>
      <c r="J18" s="47"/>
    </row>
    <row r="19" spans="1:12" ht="48.6" customHeight="1" x14ac:dyDescent="0.2">
      <c r="A19" s="41" t="str">
        <f>'Planilha Orçamentária'!A20</f>
        <v>2.4</v>
      </c>
      <c r="B19" s="39" t="str">
        <f>'Planilha Orçamentária'!B20</f>
        <v>SICRO/DNIT</v>
      </c>
      <c r="C19" s="39">
        <f>'Planilha Orçamentária'!C20</f>
        <v>5915321</v>
      </c>
      <c r="D19" s="40" t="str">
        <f>'Planilha Orçamentária'!D20</f>
        <v>TRANSPORTE COM CAMINHÃO BASCULANTE DE 14 M³ - RODOVIA PAVIMENTADA</v>
      </c>
      <c r="E19" s="39" t="str">
        <f>'Planilha Orçamentária'!E20</f>
        <v>TxKM</v>
      </c>
      <c r="F19" s="97">
        <f>F18*1.8*16.1</f>
        <v>14791.536900000003</v>
      </c>
      <c r="G19" s="372" t="s">
        <v>220</v>
      </c>
      <c r="H19" s="373"/>
      <c r="I19" s="374"/>
      <c r="J19" s="47"/>
    </row>
    <row r="20" spans="1:12" ht="54" customHeight="1" x14ac:dyDescent="0.2">
      <c r="A20" s="41" t="str">
        <f>'Planilha Orçamentária'!A21</f>
        <v>2.5</v>
      </c>
      <c r="B20" s="39" t="str">
        <f>'Planilha Orçamentária'!B21</f>
        <v>SICOR/
SEINFRA</v>
      </c>
      <c r="C20" s="39" t="str">
        <f>'Planilha Orçamentária'!C21</f>
        <v>ED-51105</v>
      </c>
      <c r="D20" s="40" t="str">
        <f>'Planilha Orçamentária'!D21</f>
        <v>ESCAVAÇÃO MECÂNICA EM MATERIAL DE 1ª CATEGORIA, INCLUSIVE CARGA EM CAMINHÃO, EXCLUSIVE TRANSPORTE E DESCARGA</v>
      </c>
      <c r="E20" s="39" t="str">
        <f>'Planilha Orçamentária'!E21</f>
        <v>M3</v>
      </c>
      <c r="F20" s="97">
        <f>F16*0.15</f>
        <v>510.40500000000003</v>
      </c>
      <c r="G20" s="372" t="s">
        <v>219</v>
      </c>
      <c r="H20" s="373"/>
      <c r="I20" s="374"/>
      <c r="J20" s="47"/>
    </row>
    <row r="21" spans="1:12" ht="66" customHeight="1" x14ac:dyDescent="0.2">
      <c r="A21" s="41" t="str">
        <f>'Planilha Orçamentária'!A22</f>
        <v>2.6</v>
      </c>
      <c r="B21" s="39" t="str">
        <f>'Planilha Orçamentária'!B22</f>
        <v>SICRO/DNIT</v>
      </c>
      <c r="C21" s="39">
        <f>'Planilha Orçamentária'!C22</f>
        <v>5915321</v>
      </c>
      <c r="D21" s="40" t="str">
        <f>'Planilha Orçamentária'!D22</f>
        <v>TRANSPORTE COM CAMINHÃO BASCULANTE DE 14 M³ - RODOVIA PAVIMENTADA</v>
      </c>
      <c r="E21" s="39" t="str">
        <f>'Planilha Orçamentária'!E22</f>
        <v>TxKM</v>
      </c>
      <c r="F21" s="97">
        <f>F20*1.6*3.4</f>
        <v>2776.6032000000005</v>
      </c>
      <c r="G21" s="372" t="s">
        <v>221</v>
      </c>
      <c r="H21" s="372"/>
      <c r="I21" s="404"/>
      <c r="J21" s="47"/>
    </row>
    <row r="22" spans="1:12" ht="70.900000000000006" customHeight="1" x14ac:dyDescent="0.2">
      <c r="A22" s="41" t="str">
        <f>'Planilha Orçamentária'!A23</f>
        <v>2.7</v>
      </c>
      <c r="B22" s="39" t="str">
        <f>'Planilha Orçamentária'!B23</f>
        <v>SICRO/DNIT</v>
      </c>
      <c r="C22" s="39">
        <f>'Planilha Orçamentária'!C23</f>
        <v>4011352</v>
      </c>
      <c r="D22" s="40" t="str">
        <f>'Planilha Orçamentária'!D23</f>
        <v>IMPRIMAÇÃO COM EMULSÃO ASFÁLTICA (EAI)</v>
      </c>
      <c r="E22" s="39" t="str">
        <f>'Planilha Orçamentária'!E23</f>
        <v>M2</v>
      </c>
      <c r="F22" s="97">
        <f>(486.1*6.4)</f>
        <v>3111.0400000000004</v>
      </c>
      <c r="G22" s="377" t="s">
        <v>229</v>
      </c>
      <c r="H22" s="378"/>
      <c r="I22" s="379"/>
      <c r="J22" s="47"/>
      <c r="L22" s="237"/>
    </row>
    <row r="23" spans="1:12" ht="54" customHeight="1" x14ac:dyDescent="0.2">
      <c r="A23" s="41" t="str">
        <f>'Planilha Orçamentária'!A24</f>
        <v>2.8</v>
      </c>
      <c r="B23" s="39" t="str">
        <f>'Planilha Orçamentária'!B24</f>
        <v>DER-MG</v>
      </c>
      <c r="C23" s="39" t="str">
        <f>'Planilha Orçamentária'!C24</f>
        <v>ARP 231/2024
(Preço Unit.
com ICMS)</v>
      </c>
      <c r="D23" s="40" t="str">
        <f>'Planilha Orçamentária'!D24</f>
        <v>FORNECIMENTO DE MATERIAL BETUMINOSO (EAI)</v>
      </c>
      <c r="E23" s="39" t="str">
        <f>'Planilha Orçamentária'!E24</f>
        <v>T</v>
      </c>
      <c r="F23" s="97">
        <f>F22*0.0012</f>
        <v>3.7332480000000001</v>
      </c>
      <c r="G23" s="372" t="s">
        <v>222</v>
      </c>
      <c r="H23" s="375"/>
      <c r="I23" s="376"/>
      <c r="J23" s="47"/>
    </row>
    <row r="24" spans="1:12" ht="64.150000000000006" customHeight="1" x14ac:dyDescent="0.2">
      <c r="A24" s="41" t="str">
        <f>'Planilha Orçamentária'!A25</f>
        <v>2.9</v>
      </c>
      <c r="B24" s="39" t="str">
        <f>'Planilha Orçamentária'!B25</f>
        <v>SICRO/DNIT</v>
      </c>
      <c r="C24" s="39">
        <f>'Planilha Orçamentária'!C25</f>
        <v>4011353</v>
      </c>
      <c r="D24" s="40" t="str">
        <f>'Planilha Orçamentária'!D25</f>
        <v xml:space="preserve">PINTURA DE LIGAÇÃO (RR-1C) </v>
      </c>
      <c r="E24" s="39" t="str">
        <f>'Planilha Orçamentária'!E25</f>
        <v>M2</v>
      </c>
      <c r="F24" s="97">
        <f>(486.1*6.4)</f>
        <v>3111.0400000000004</v>
      </c>
      <c r="G24" s="377" t="s">
        <v>229</v>
      </c>
      <c r="H24" s="378"/>
      <c r="I24" s="379"/>
    </row>
    <row r="25" spans="1:12" ht="57" customHeight="1" x14ac:dyDescent="0.2">
      <c r="A25" s="41" t="str">
        <f>'Planilha Orçamentária'!A26</f>
        <v>2.10</v>
      </c>
      <c r="B25" s="39" t="str">
        <f>'Planilha Orçamentária'!B26</f>
        <v>DER-MG</v>
      </c>
      <c r="C25" s="39" t="str">
        <f>'Planilha Orçamentária'!C26</f>
        <v>ARP 231/2024
(Preço Unit.
com ICMS)</v>
      </c>
      <c r="D25" s="40" t="str">
        <f>'Planilha Orçamentária'!D26</f>
        <v>FORNECIMENTO DE MATERIAL BETUMINOSO (RR-1C)</v>
      </c>
      <c r="E25" s="39" t="str">
        <f>'Planilha Orçamentária'!E26</f>
        <v>T</v>
      </c>
      <c r="F25" s="97">
        <f>F24*0.0005</f>
        <v>1.5555200000000002</v>
      </c>
      <c r="G25" s="372" t="s">
        <v>223</v>
      </c>
      <c r="H25" s="375"/>
      <c r="I25" s="376"/>
      <c r="J25" s="47"/>
    </row>
    <row r="26" spans="1:12" ht="60.6" customHeight="1" x14ac:dyDescent="0.2">
      <c r="A26" s="41" t="str">
        <f>'Planilha Orçamentária'!A27</f>
        <v>2.11</v>
      </c>
      <c r="B26" s="39" t="str">
        <f>'Planilha Orçamentária'!B27</f>
        <v>DER-MG</v>
      </c>
      <c r="C26" s="39" t="str">
        <f>'Planilha Orçamentária'!C27</f>
        <v>TABELA DE FRETE - 
(Pág. 15)</v>
      </c>
      <c r="D26" s="40" t="str">
        <f>'Planilha Orçamentária'!D27</f>
        <v>FRETE DE MATERIAL BETUMINOSO - DER
*BDI DIFERENCIADO A SER APLICADO PARA FORNECIMENTO DE MATERIAL BETUMINOSO E MATERIAL DE JAZIDA. FÓRMULA PARA CUSTO DO FRETE:  (0,7662 * distância em km) + 49,5103; DMT = 502KM</v>
      </c>
      <c r="E26" s="39" t="str">
        <f>'Planilha Orçamentária'!E27</f>
        <v>T</v>
      </c>
      <c r="F26" s="97">
        <f>(F22*0.0012)+(F24*0.0005)</f>
        <v>5.2887680000000001</v>
      </c>
      <c r="G26" s="372" t="s">
        <v>224</v>
      </c>
      <c r="H26" s="375"/>
      <c r="I26" s="376"/>
      <c r="J26" s="50"/>
    </row>
    <row r="27" spans="1:12" ht="56.25" x14ac:dyDescent="0.2">
      <c r="A27" s="41" t="str">
        <f>'Planilha Orçamentária'!A28</f>
        <v>2.12</v>
      </c>
      <c r="B27" s="39" t="str">
        <f>'Planilha Orçamentária'!B28</f>
        <v>SICOR/
SEINFRA</v>
      </c>
      <c r="C27" s="39" t="str">
        <f>'Planilha Orçamentária'!C28</f>
        <v>ED-7623</v>
      </c>
      <c r="D27" s="40" t="str">
        <f>'Planilha Orçamentária'!D28</f>
        <v>EXECUÇÃO E APLICAÇÃO DE CONCRETO BETUMINOSO USINADO A QUENTE (CBUQ), MASSA COMERCIAL, INCLUINDO FORNECIMENTO E TRANSPORTE DOS AGREGADOS E  MATERIAL BETUMINOSO, EXCLUSIVE TRANSPORTE DA MASSA ASFÁLTICA ATÉ A PISTA</v>
      </c>
      <c r="E27" s="39" t="str">
        <f>'Planilha Orçamentária'!E28</f>
        <v>M3</v>
      </c>
      <c r="F27" s="97">
        <f>F24*0.03</f>
        <v>93.33120000000001</v>
      </c>
      <c r="G27" s="373" t="s">
        <v>225</v>
      </c>
      <c r="H27" s="373"/>
      <c r="I27" s="374"/>
      <c r="J27" s="49"/>
    </row>
    <row r="28" spans="1:12" ht="36.75" customHeight="1" x14ac:dyDescent="0.2">
      <c r="A28" s="41" t="str">
        <f>'Planilha Orçamentária'!A29</f>
        <v>2.13</v>
      </c>
      <c r="B28" s="39" t="s">
        <v>129</v>
      </c>
      <c r="C28" s="39">
        <f>'Planilha Orçamentária'!C29</f>
        <v>5914612</v>
      </c>
      <c r="D28" s="40" t="str">
        <f>'Planilha Orçamentária'!D29</f>
        <v>TRANSPORTE DE MISTURA BETUMINOSA A QUENTE COM CAMINHÃO COM CAÇAMBA TÉRMICA DE 6 M³ - RODOVIA PAVIMENTADA</v>
      </c>
      <c r="E28" s="39" t="str">
        <f>'Planilha Orçamentária'!E29</f>
        <v>TKM</v>
      </c>
      <c r="F28" s="97">
        <f>F27*2.4*208</f>
        <v>46590.935040000004</v>
      </c>
      <c r="G28" s="373" t="s">
        <v>226</v>
      </c>
      <c r="H28" s="375"/>
      <c r="I28" s="376"/>
      <c r="J28" s="47"/>
      <c r="K28" s="47"/>
    </row>
    <row r="29" spans="1:12" ht="85.9" customHeight="1" x14ac:dyDescent="0.2">
      <c r="A29" s="41" t="str">
        <f>'Planilha Orçamentária'!A30</f>
        <v>2.14</v>
      </c>
      <c r="B29" s="39" t="s">
        <v>129</v>
      </c>
      <c r="C29" s="39">
        <f>'Planilha Orçamentária'!C30</f>
        <v>94267</v>
      </c>
      <c r="D29" s="40" t="str">
        <f>'Planilha Orçamentária'!D30</f>
        <v>GUIA (MEIO-FIO) E SARJETA CONJUGADOS DE CONCRETO, MOLDADA IN LOCO EM TRECHO RETO COM EXTRUSORA, 45 CM BASE (15 CM BASE DA GUIA + 30 CM BASE DA SARJETA) X 22 CM ALTURA. AF_06/2016</v>
      </c>
      <c r="E29" s="39" t="str">
        <f>'Planilha Orçamentária'!E30</f>
        <v>M</v>
      </c>
      <c r="F29" s="97">
        <f>361.7+273+281.4</f>
        <v>916.1</v>
      </c>
      <c r="G29" s="372" t="s">
        <v>230</v>
      </c>
      <c r="H29" s="375"/>
      <c r="I29" s="376"/>
      <c r="J29" s="47"/>
      <c r="K29" s="47"/>
    </row>
    <row r="30" spans="1:12" hidden="1" x14ac:dyDescent="0.2">
      <c r="A30" s="91">
        <f>'Planilha Orçamentária'!A31</f>
        <v>3</v>
      </c>
      <c r="B30" s="65"/>
      <c r="C30" s="66"/>
      <c r="D30" s="67" t="str">
        <f>'Planilha Orçamentária'!D31</f>
        <v>SINALIZAÇÃO E ACESSIBILIDADE</v>
      </c>
      <c r="E30" s="70"/>
      <c r="F30" s="72"/>
      <c r="G30" s="383"/>
      <c r="H30" s="384"/>
      <c r="I30" s="385"/>
    </row>
    <row r="31" spans="1:12" ht="33.75" hidden="1" x14ac:dyDescent="0.2">
      <c r="A31" s="41" t="str">
        <f>'Planilha Orçamentária'!A32</f>
        <v>3.1</v>
      </c>
      <c r="B31" s="39" t="str">
        <f>'Planilha Orçamentária'!B32</f>
        <v>SICOR/
SEINFRA</v>
      </c>
      <c r="C31" s="39" t="str">
        <f>'Planilha Orçamentária'!C32</f>
        <v xml:space="preserve"> ED-51148</v>
      </c>
      <c r="D31" s="40" t="str">
        <f>'Planilha Orçamentária'!D32</f>
        <v>RAMPA PARA ACESSO DE DEFICIENTE, EM CONCRETO SIMPLES FCK = 25 MPA,  DESEMPENADA, COM PINTURA INDICATIVA, 02 DEMÃOS</v>
      </c>
      <c r="E31" s="64" t="str">
        <f>'Planilha Orçamentária'!E32</f>
        <v>U</v>
      </c>
      <c r="F31" s="97"/>
      <c r="G31" s="373" t="s">
        <v>147</v>
      </c>
      <c r="H31" s="373"/>
      <c r="I31" s="374"/>
    </row>
    <row r="32" spans="1:12" ht="22.5" hidden="1" x14ac:dyDescent="0.2">
      <c r="A32" s="41" t="str">
        <f>'Planilha Orçamentária'!A33</f>
        <v>3.2</v>
      </c>
      <c r="B32" s="39" t="str">
        <f>'Planilha Orçamentária'!B33</f>
        <v>SICRO/DNIT</v>
      </c>
      <c r="C32" s="39">
        <f>'Planilha Orçamentária'!C33</f>
        <v>5213440</v>
      </c>
      <c r="D32" s="40" t="str">
        <f>'Planilha Orçamentária'!D33</f>
        <v>PLACA DE REGULAMENTAÇÃO EM AÇO D = 0,60 M - PELÍCULA RETRORREFLETIVA TIPO I + SI - FORNECIMENTO E IMPLANTAÇÃO</v>
      </c>
      <c r="E32" s="64" t="str">
        <f>'Planilha Orçamentária'!E33</f>
        <v>U</v>
      </c>
      <c r="F32" s="97">
        <v>0</v>
      </c>
      <c r="G32" s="373" t="s">
        <v>116</v>
      </c>
      <c r="H32" s="373"/>
      <c r="I32" s="374"/>
    </row>
    <row r="33" spans="1:11" ht="22.5" hidden="1" x14ac:dyDescent="0.2">
      <c r="A33" s="41" t="str">
        <f>'Planilha Orçamentária'!A34</f>
        <v>3.3</v>
      </c>
      <c r="B33" s="39" t="str">
        <f>'Planilha Orçamentária'!B34</f>
        <v>SICRO-DNIT</v>
      </c>
      <c r="C33" s="39">
        <f>'Planilha Orçamentária'!C34</f>
        <v>0</v>
      </c>
      <c r="D33" s="40" t="str">
        <f>'Planilha Orçamentária'!D34</f>
        <v>SUPORTE METÁLICO GALVANIZADO PARA PLACA DE REGULAMENTAÇÃO</v>
      </c>
      <c r="E33" s="64" t="str">
        <f>'Planilha Orçamentária'!E34</f>
        <v>U</v>
      </c>
      <c r="F33" s="97"/>
      <c r="G33" s="373" t="s">
        <v>116</v>
      </c>
      <c r="H33" s="373"/>
      <c r="I33" s="374"/>
    </row>
    <row r="34" spans="1:11" ht="22.5" hidden="1" x14ac:dyDescent="0.2">
      <c r="A34" s="41" t="str">
        <f>'Planilha Orçamentária'!A35</f>
        <v>3.4</v>
      </c>
      <c r="B34" s="39" t="str">
        <f>'Planilha Orçamentária'!B35</f>
        <v>SICRO-DNIT</v>
      </c>
      <c r="C34" s="39" t="str">
        <f>'Planilha Orçamentária'!C35</f>
        <v>5213464</v>
      </c>
      <c r="D34" s="40" t="str">
        <f>'Planilha Orçamentária'!D35</f>
        <v xml:space="preserve">PLACA DE ADVERTÊNCIA EM AÇO, LADO DE 0,60 M - PELÍCULA RETRORREFLETIVA TIPO I + SI - FORNECIMENTO E IMPLANTAÇÃO </v>
      </c>
      <c r="E34" s="64" t="str">
        <f>'Planilha Orçamentária'!E35</f>
        <v>U</v>
      </c>
      <c r="F34" s="97"/>
      <c r="G34" s="373" t="s">
        <v>116</v>
      </c>
      <c r="H34" s="373"/>
      <c r="I34" s="374"/>
    </row>
    <row r="35" spans="1:11" ht="33.75" hidden="1" x14ac:dyDescent="0.2">
      <c r="A35" s="41" t="str">
        <f>'Planilha Orçamentária'!A36</f>
        <v>3.5</v>
      </c>
      <c r="B35" s="39" t="str">
        <f>'Planilha Orçamentária'!B36</f>
        <v>SICRO/DNIT</v>
      </c>
      <c r="C35" s="39">
        <f>'Planilha Orçamentária'!C36</f>
        <v>5213863</v>
      </c>
      <c r="D35" s="40" t="str">
        <f>'Planilha Orçamentária'!D36</f>
        <v>SUPORTE METÁLICO GALVANIZADO PARA PLACA DE ADVERTÊNCIA OU REGULAMENTAÇÃO - LADO OU DIÂMETRO DE 0,60 M - FORNECIMENTO E IMPLANTAÇÃO</v>
      </c>
      <c r="E35" s="64" t="str">
        <f>'Planilha Orçamentária'!E36</f>
        <v>U</v>
      </c>
      <c r="F35" s="97">
        <v>0</v>
      </c>
      <c r="G35" s="373" t="s">
        <v>117</v>
      </c>
      <c r="H35" s="373"/>
      <c r="I35" s="374"/>
    </row>
    <row r="36" spans="1:11" ht="96.75" hidden="1" customHeight="1" x14ac:dyDescent="0.2">
      <c r="A36" s="41" t="str">
        <f>'Planilha Orçamentária'!A37</f>
        <v>3.6</v>
      </c>
      <c r="B36" s="39" t="str">
        <f>'Planilha Orçamentária'!B37</f>
        <v>SICRO/DNIT</v>
      </c>
      <c r="C36" s="39">
        <f>'Planilha Orçamentária'!C37</f>
        <v>5213401</v>
      </c>
      <c r="D36" s="40" t="str">
        <f>'Planilha Orçamentária'!D37</f>
        <v>PINTURA DE FAIXA COM TINTA ACRÍLICA - ESPESSURA DE 0,6 MM</v>
      </c>
      <c r="E36" s="64" t="str">
        <f>'Planilha Orçamentária'!E37</f>
        <v>M2</v>
      </c>
      <c r="F36" s="97">
        <f>(1550*0.1*2)+77.5</f>
        <v>387.5</v>
      </c>
      <c r="G36" s="373" t="s">
        <v>138</v>
      </c>
      <c r="H36" s="373"/>
      <c r="I36" s="374"/>
    </row>
    <row r="37" spans="1:11" ht="57" customHeight="1" x14ac:dyDescent="0.2">
      <c r="A37" s="246"/>
      <c r="B37" s="248"/>
      <c r="C37" s="248"/>
      <c r="D37" s="249"/>
      <c r="E37" s="250"/>
      <c r="F37" s="251"/>
      <c r="G37" s="252"/>
      <c r="H37" s="252"/>
      <c r="I37" s="253"/>
    </row>
    <row r="38" spans="1:11" x14ac:dyDescent="0.2">
      <c r="A38" s="246"/>
      <c r="B38" s="247"/>
      <c r="D38" s="254"/>
      <c r="E38" s="250"/>
      <c r="F38" s="251"/>
      <c r="G38" s="252"/>
      <c r="H38" s="252"/>
      <c r="I38" s="253"/>
    </row>
    <row r="39" spans="1:11" x14ac:dyDescent="0.2">
      <c r="A39" s="54"/>
      <c r="B39" s="55"/>
      <c r="C39" s="338" t="str">
        <f>'Planilha Orçamentária'!C46:D46</f>
        <v>ROBSON RODRIGUES</v>
      </c>
      <c r="D39" s="338"/>
      <c r="E39" s="55"/>
      <c r="F39" s="360"/>
      <c r="G39" s="360"/>
      <c r="H39" s="57"/>
      <c r="I39" s="56"/>
      <c r="J39" s="1"/>
      <c r="K39" s="1"/>
    </row>
    <row r="40" spans="1:11" x14ac:dyDescent="0.2">
      <c r="A40" s="58"/>
      <c r="B40" s="59"/>
      <c r="C40" s="337" t="str">
        <f>'Planilha Orçamentária'!C47:D47</f>
        <v>Engenheiro Civil - CREA-MG   Nº. 159.788/D</v>
      </c>
      <c r="D40" s="337"/>
      <c r="E40" s="59"/>
      <c r="F40" s="337"/>
      <c r="G40" s="337"/>
      <c r="H40" s="59"/>
      <c r="I40" s="60"/>
      <c r="J40" s="1"/>
      <c r="K40" s="1"/>
    </row>
    <row r="41" spans="1:11" x14ac:dyDescent="0.2">
      <c r="A41" s="58"/>
      <c r="B41" s="59"/>
      <c r="C41" s="59"/>
      <c r="D41" s="59"/>
      <c r="E41" s="59"/>
      <c r="F41" s="59"/>
      <c r="G41" s="59"/>
      <c r="H41" s="59"/>
      <c r="I41" s="60"/>
      <c r="J41" s="1"/>
      <c r="K41" s="1"/>
    </row>
    <row r="42" spans="1:11" x14ac:dyDescent="0.2">
      <c r="A42" s="58"/>
      <c r="B42" s="59"/>
      <c r="C42" s="59"/>
      <c r="D42" s="337">
        <f>'Planilha Orçamentária'!D49:E49</f>
        <v>0</v>
      </c>
      <c r="E42" s="337"/>
      <c r="F42" s="59"/>
      <c r="G42" s="59"/>
      <c r="H42" s="59"/>
      <c r="I42" s="60"/>
      <c r="J42" s="1"/>
      <c r="K42" s="1"/>
    </row>
    <row r="43" spans="1:11" x14ac:dyDescent="0.2">
      <c r="A43" s="58"/>
      <c r="B43" s="59"/>
      <c r="C43" s="59"/>
      <c r="D43" s="59"/>
      <c r="E43" s="59"/>
      <c r="F43" s="59"/>
      <c r="G43" s="59"/>
      <c r="H43" s="59"/>
      <c r="I43" s="60"/>
      <c r="J43" s="1"/>
      <c r="K43" s="1"/>
    </row>
    <row r="44" spans="1:11" x14ac:dyDescent="0.2">
      <c r="A44" s="58"/>
      <c r="B44" s="59"/>
      <c r="C44" s="59"/>
      <c r="D44" s="59"/>
      <c r="E44" s="59"/>
      <c r="F44" s="59"/>
      <c r="G44" s="59"/>
      <c r="H44" s="59"/>
      <c r="I44" s="60"/>
      <c r="J44" s="1"/>
      <c r="K44" s="36"/>
    </row>
    <row r="45" spans="1:11" x14ac:dyDescent="0.2">
      <c r="A45" s="58"/>
      <c r="B45" s="59"/>
      <c r="C45" s="59"/>
      <c r="D45" s="59"/>
      <c r="E45" s="59"/>
      <c r="F45" s="59"/>
      <c r="G45" s="59"/>
      <c r="H45" s="59"/>
      <c r="I45" s="60"/>
      <c r="J45" s="1"/>
      <c r="K45" s="1"/>
    </row>
    <row r="46" spans="1:11" ht="11.25" customHeight="1" x14ac:dyDescent="0.2">
      <c r="A46" s="54"/>
      <c r="B46" s="55"/>
      <c r="C46" s="339"/>
      <c r="D46" s="339"/>
      <c r="E46" s="55"/>
      <c r="F46" s="337"/>
      <c r="G46" s="337"/>
      <c r="H46" s="57"/>
      <c r="I46" s="56"/>
      <c r="J46" s="1"/>
      <c r="K46" s="1"/>
    </row>
    <row r="47" spans="1:11" x14ac:dyDescent="0.2">
      <c r="A47" s="54"/>
      <c r="B47" s="55"/>
      <c r="C47" s="338" t="str">
        <f>'Planilha Orçamentária'!C54:D54</f>
        <v>ELTON CARLOS JOSÉ DE SOUZA</v>
      </c>
      <c r="D47" s="338"/>
      <c r="E47" s="55"/>
      <c r="F47" s="337"/>
      <c r="G47" s="337"/>
      <c r="H47" s="57"/>
      <c r="I47" s="56"/>
      <c r="J47" s="1"/>
      <c r="K47" s="1"/>
    </row>
    <row r="48" spans="1:11" x14ac:dyDescent="0.2">
      <c r="A48" s="54"/>
      <c r="B48" s="55"/>
      <c r="C48" s="337" t="str">
        <f>'Planilha Orçamentária'!C55:D55</f>
        <v>Prefeito Municipal</v>
      </c>
      <c r="D48" s="337"/>
      <c r="E48" s="55"/>
      <c r="F48" s="57"/>
      <c r="G48" s="57"/>
      <c r="H48" s="57"/>
      <c r="I48" s="56"/>
      <c r="J48" s="1"/>
      <c r="K48" s="1"/>
    </row>
  </sheetData>
  <mergeCells count="49">
    <mergeCell ref="G31:I31"/>
    <mergeCell ref="G29:I29"/>
    <mergeCell ref="G23:I23"/>
    <mergeCell ref="G22:I22"/>
    <mergeCell ref="G28:I28"/>
    <mergeCell ref="G27:I27"/>
    <mergeCell ref="C48:D48"/>
    <mergeCell ref="G35:I35"/>
    <mergeCell ref="G30:I30"/>
    <mergeCell ref="G32:I32"/>
    <mergeCell ref="C47:D47"/>
    <mergeCell ref="F47:G47"/>
    <mergeCell ref="F39:G39"/>
    <mergeCell ref="C40:D40"/>
    <mergeCell ref="F40:G40"/>
    <mergeCell ref="G36:I36"/>
    <mergeCell ref="C46:D46"/>
    <mergeCell ref="D42:E42"/>
    <mergeCell ref="F46:G46"/>
    <mergeCell ref="C39:D39"/>
    <mergeCell ref="G33:I33"/>
    <mergeCell ref="G34:I34"/>
    <mergeCell ref="A1:C1"/>
    <mergeCell ref="D1:I1"/>
    <mergeCell ref="A2:I2"/>
    <mergeCell ref="A5:E5"/>
    <mergeCell ref="F5:I5"/>
    <mergeCell ref="A4:E4"/>
    <mergeCell ref="F4:G4"/>
    <mergeCell ref="A6:E6"/>
    <mergeCell ref="A7:E7"/>
    <mergeCell ref="F7:H7"/>
    <mergeCell ref="G9:I9"/>
    <mergeCell ref="G11:I11"/>
    <mergeCell ref="A8:I8"/>
    <mergeCell ref="G16:I16"/>
    <mergeCell ref="G13:I13"/>
    <mergeCell ref="G15:I15"/>
    <mergeCell ref="G10:I10"/>
    <mergeCell ref="G12:I12"/>
    <mergeCell ref="G14:I14"/>
    <mergeCell ref="G17:I17"/>
    <mergeCell ref="G18:I18"/>
    <mergeCell ref="G25:I25"/>
    <mergeCell ref="G26:I26"/>
    <mergeCell ref="G24:I24"/>
    <mergeCell ref="G21:I21"/>
    <mergeCell ref="G20:I20"/>
    <mergeCell ref="G19:I19"/>
  </mergeCells>
  <printOptions horizontalCentered="1" verticalCentered="1"/>
  <pageMargins left="0.51181102362204722" right="0.23622047244094491" top="0.59055118110236227" bottom="0.15748031496062992" header="0.55118110236220474" footer="0.15748031496062992"/>
  <pageSetup paperSize="9" scale="53" fitToHeight="0" orientation="portrait" horizontalDpi="360" verticalDpi="36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StaticMetafile" shapeId="5121" r:id="rId4">
          <objectPr defaultSize="0" autoPict="0" r:id="rId5">
            <anchor moveWithCells="1" sizeWithCells="1">
              <from>
                <xdr:col>0</xdr:col>
                <xdr:colOff>133350</xdr:colOff>
                <xdr:row>0</xdr:row>
                <xdr:rowOff>200025</xdr:rowOff>
              </from>
              <to>
                <xdr:col>2</xdr:col>
                <xdr:colOff>9525</xdr:colOff>
                <xdr:row>0</xdr:row>
                <xdr:rowOff>1114425</xdr:rowOff>
              </to>
            </anchor>
          </objectPr>
        </oleObject>
      </mc:Choice>
      <mc:Fallback>
        <oleObject progId="StaticMetafile" shapeId="512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3"/>
  <sheetViews>
    <sheetView showGridLines="0" showZeros="0" view="pageBreakPreview" zoomScale="85" zoomScaleNormal="75" zoomScaleSheetLayoutView="85" workbookViewId="0">
      <selection activeCell="D4" sqref="D4:G4"/>
    </sheetView>
  </sheetViews>
  <sheetFormatPr defaultColWidth="9.140625" defaultRowHeight="12.75" x14ac:dyDescent="0.2"/>
  <cols>
    <col min="1" max="1" width="12.140625" style="3" customWidth="1"/>
    <col min="2" max="2" width="10.42578125" style="3" customWidth="1"/>
    <col min="3" max="3" width="64.28515625" style="3" customWidth="1"/>
    <col min="4" max="4" width="14.28515625" style="4" customWidth="1"/>
    <col min="5" max="5" width="15.7109375" style="4" customWidth="1"/>
    <col min="6" max="6" width="17.42578125" style="3" customWidth="1"/>
    <col min="7" max="9" width="15.7109375" style="3" customWidth="1"/>
    <col min="10" max="10" width="13.42578125" style="3" bestFit="1" customWidth="1"/>
    <col min="11" max="11" width="11.7109375" style="3" bestFit="1" customWidth="1"/>
    <col min="12" max="16384" width="9.140625" style="3"/>
  </cols>
  <sheetData>
    <row r="1" spans="1:12" ht="99.75" customHeight="1" thickBot="1" x14ac:dyDescent="0.25">
      <c r="A1" s="26"/>
      <c r="B1" s="25"/>
      <c r="C1" s="25"/>
      <c r="D1" s="24"/>
      <c r="E1" s="24"/>
      <c r="F1" s="24"/>
      <c r="G1" s="24"/>
      <c r="H1" s="24"/>
      <c r="I1" s="23"/>
      <c r="J1" s="128"/>
    </row>
    <row r="2" spans="1:12" ht="18" customHeight="1" thickBot="1" x14ac:dyDescent="0.25">
      <c r="A2" s="428" t="s">
        <v>32</v>
      </c>
      <c r="B2" s="429"/>
      <c r="C2" s="429"/>
      <c r="D2" s="429"/>
      <c r="E2" s="429"/>
      <c r="F2" s="429"/>
      <c r="G2" s="429"/>
      <c r="H2" s="430"/>
      <c r="I2" s="431"/>
      <c r="J2" s="127"/>
    </row>
    <row r="3" spans="1:12" ht="34.5" customHeight="1" x14ac:dyDescent="0.2">
      <c r="A3" s="432" t="str">
        <f>'Planilha Orçamentária'!A4:E4</f>
        <v>PREFEITURA MUNICIPAL DE PINTÓPOLIS</v>
      </c>
      <c r="B3" s="433"/>
      <c r="C3" s="434"/>
      <c r="D3" s="79" t="s">
        <v>31</v>
      </c>
      <c r="E3" s="80"/>
      <c r="F3" s="81">
        <f>'Planilha Orçamentária'!I38</f>
        <v>405977.41814999998</v>
      </c>
      <c r="G3" s="79" t="s">
        <v>33</v>
      </c>
      <c r="H3" s="80"/>
      <c r="I3" s="82">
        <f ca="1">TODAY()</f>
        <v>46231</v>
      </c>
      <c r="J3" s="127"/>
    </row>
    <row r="4" spans="1:12" ht="34.5" customHeight="1" x14ac:dyDescent="0.2">
      <c r="A4" s="422" t="str">
        <f>'Planilha Orçamentária'!A5:E5</f>
        <v>OBRA: PAVIMENTAÇÃO ASFÁLTICA EM CBUQ</v>
      </c>
      <c r="B4" s="423"/>
      <c r="C4" s="424"/>
      <c r="D4" s="439" t="s">
        <v>231</v>
      </c>
      <c r="E4" s="440"/>
      <c r="F4" s="440"/>
      <c r="G4" s="440"/>
      <c r="H4" s="437" t="s">
        <v>140</v>
      </c>
      <c r="I4" s="438"/>
    </row>
    <row r="5" spans="1:12" ht="44.25" customHeight="1" x14ac:dyDescent="0.2">
      <c r="A5" s="83" t="s">
        <v>0</v>
      </c>
      <c r="B5" s="84" t="s">
        <v>5</v>
      </c>
      <c r="C5" s="84" t="s">
        <v>30</v>
      </c>
      <c r="D5" s="85" t="s">
        <v>29</v>
      </c>
      <c r="E5" s="85" t="s">
        <v>28</v>
      </c>
      <c r="F5" s="84" t="s">
        <v>27</v>
      </c>
      <c r="G5" s="84" t="s">
        <v>26</v>
      </c>
      <c r="H5" s="98" t="s">
        <v>25</v>
      </c>
      <c r="I5" s="99" t="s">
        <v>109</v>
      </c>
      <c r="L5" s="38"/>
    </row>
    <row r="6" spans="1:12" ht="14.25" customHeight="1" x14ac:dyDescent="0.2">
      <c r="A6" s="425">
        <v>1</v>
      </c>
      <c r="B6" s="435"/>
      <c r="C6" s="435" t="str">
        <f>'Planilha Orçamentária'!D11</f>
        <v>SERVIÇOS PRELIMINARES</v>
      </c>
      <c r="D6" s="22" t="s">
        <v>23</v>
      </c>
      <c r="E6" s="241">
        <f>E7/E15</f>
        <v>3.4651159205121913E-2</v>
      </c>
      <c r="F6" s="241">
        <v>0.75</v>
      </c>
      <c r="G6" s="241">
        <v>0.25</v>
      </c>
      <c r="H6" s="104"/>
      <c r="I6" s="100"/>
      <c r="L6" s="27"/>
    </row>
    <row r="7" spans="1:12" ht="14.25" customHeight="1" x14ac:dyDescent="0.2">
      <c r="A7" s="426"/>
      <c r="B7" s="436"/>
      <c r="C7" s="436"/>
      <c r="D7" s="21" t="s">
        <v>22</v>
      </c>
      <c r="E7" s="242">
        <f>'Planilha Orçamentária'!I11</f>
        <v>14067.58815</v>
      </c>
      <c r="F7" s="242">
        <f>F6*$E$7</f>
        <v>10550.691112500001</v>
      </c>
      <c r="G7" s="242">
        <f>G6*$E$7</f>
        <v>3516.8970374999999</v>
      </c>
      <c r="H7" s="29">
        <f>H6*$E$7</f>
        <v>0</v>
      </c>
      <c r="I7" s="101">
        <f>I6*$E$7</f>
        <v>0</v>
      </c>
      <c r="J7" s="27"/>
    </row>
    <row r="8" spans="1:12" ht="14.25" customHeight="1" x14ac:dyDescent="0.2">
      <c r="A8" s="427">
        <v>2</v>
      </c>
      <c r="B8" s="417"/>
      <c r="C8" s="417" t="str">
        <f>'Planilha Orçamentária'!D16</f>
        <v>PAVIMENTAÇÃO ASFÁLTICA E DRENAGEM SUPERFICIAL</v>
      </c>
      <c r="D8" s="20" t="s">
        <v>23</v>
      </c>
      <c r="E8" s="243">
        <f>E9/E15</f>
        <v>0.96534884079487804</v>
      </c>
      <c r="F8" s="243">
        <v>0.5</v>
      </c>
      <c r="G8" s="243">
        <v>0.5</v>
      </c>
      <c r="H8" s="30"/>
      <c r="I8" s="102"/>
      <c r="J8" s="27"/>
    </row>
    <row r="9" spans="1:12" x14ac:dyDescent="0.2">
      <c r="A9" s="427"/>
      <c r="B9" s="417"/>
      <c r="C9" s="417"/>
      <c r="D9" s="20" t="s">
        <v>22</v>
      </c>
      <c r="E9" s="244">
        <f>'Planilha Orçamentária'!I16</f>
        <v>391909.82999999996</v>
      </c>
      <c r="F9" s="244">
        <f>F8*$E$9</f>
        <v>195954.91499999998</v>
      </c>
      <c r="G9" s="244">
        <f>G8*$E$9</f>
        <v>195954.91499999998</v>
      </c>
      <c r="H9" s="31">
        <f>H8*$E$9</f>
        <v>0</v>
      </c>
      <c r="I9" s="103">
        <f>I8*$E$9</f>
        <v>0</v>
      </c>
      <c r="J9" s="27"/>
      <c r="K9" s="27"/>
    </row>
    <row r="10" spans="1:12" hidden="1" x14ac:dyDescent="0.2">
      <c r="A10" s="413"/>
      <c r="B10" s="415"/>
      <c r="C10" s="411"/>
      <c r="D10" s="122" t="s">
        <v>23</v>
      </c>
      <c r="E10" s="200"/>
      <c r="F10" s="200"/>
      <c r="G10" s="201"/>
      <c r="H10" s="123"/>
      <c r="I10" s="124"/>
    </row>
    <row r="11" spans="1:12" hidden="1" x14ac:dyDescent="0.2">
      <c r="A11" s="414"/>
      <c r="B11" s="416"/>
      <c r="C11" s="412"/>
      <c r="D11" s="122" t="s">
        <v>22</v>
      </c>
      <c r="E11" s="202"/>
      <c r="F11" s="202"/>
      <c r="G11" s="202"/>
      <c r="H11" s="125"/>
      <c r="I11" s="126"/>
    </row>
    <row r="12" spans="1:12" ht="14.25" hidden="1" customHeight="1" x14ac:dyDescent="0.2">
      <c r="A12" s="418">
        <v>3</v>
      </c>
      <c r="B12" s="420"/>
      <c r="C12" s="420" t="str">
        <f>'Planilha Orçamentária'!D31</f>
        <v>SINALIZAÇÃO E ACESSIBILIDADE</v>
      </c>
      <c r="D12" s="21" t="s">
        <v>23</v>
      </c>
      <c r="E12" s="198">
        <f>E13/E15</f>
        <v>0</v>
      </c>
      <c r="F12" s="198">
        <v>0</v>
      </c>
      <c r="G12" s="198">
        <v>1</v>
      </c>
      <c r="H12" s="119"/>
      <c r="I12" s="100"/>
    </row>
    <row r="13" spans="1:12" ht="14.25" hidden="1" customHeight="1" x14ac:dyDescent="0.2">
      <c r="A13" s="419"/>
      <c r="B13" s="421"/>
      <c r="C13" s="421"/>
      <c r="D13" s="21" t="s">
        <v>22</v>
      </c>
      <c r="E13" s="199">
        <f>'Planilha Orçamentária'!I31</f>
        <v>0</v>
      </c>
      <c r="F13" s="199">
        <f>F12*$E$13</f>
        <v>0</v>
      </c>
      <c r="G13" s="199">
        <f>G12*$E$13</f>
        <v>0</v>
      </c>
      <c r="H13" s="120">
        <f>H12*$E$13</f>
        <v>0</v>
      </c>
      <c r="I13" s="121">
        <f>I12*$E$13</f>
        <v>0</v>
      </c>
    </row>
    <row r="14" spans="1:12" ht="14.25" customHeight="1" x14ac:dyDescent="0.2">
      <c r="A14" s="405" t="s">
        <v>24</v>
      </c>
      <c r="B14" s="406"/>
      <c r="C14" s="407"/>
      <c r="D14" s="19" t="s">
        <v>23</v>
      </c>
      <c r="E14" s="33">
        <f>E15/$E$15</f>
        <v>1</v>
      </c>
      <c r="F14" s="33">
        <f>F15/$E$15</f>
        <v>0.50866278980128043</v>
      </c>
      <c r="G14" s="33">
        <f t="shared" ref="G14:I14" si="0">G15/$E$15</f>
        <v>0.49133721019871945</v>
      </c>
      <c r="H14" s="105">
        <f t="shared" si="0"/>
        <v>0</v>
      </c>
      <c r="I14" s="75">
        <f t="shared" si="0"/>
        <v>0</v>
      </c>
      <c r="K14" s="28"/>
    </row>
    <row r="15" spans="1:12" ht="13.15" customHeight="1" thickBot="1" x14ac:dyDescent="0.25">
      <c r="A15" s="408"/>
      <c r="B15" s="409"/>
      <c r="C15" s="410"/>
      <c r="D15" s="18" t="s">
        <v>22</v>
      </c>
      <c r="E15" s="34">
        <f>E7+E9+E11+E13</f>
        <v>405977.41814999998</v>
      </c>
      <c r="F15" s="35">
        <f>F7+F9+F11+F13</f>
        <v>206505.60611249998</v>
      </c>
      <c r="G15" s="35">
        <f>G7+G9+G11+G13</f>
        <v>199471.81203749997</v>
      </c>
      <c r="H15" s="106">
        <f>H7+H9+H11+H13</f>
        <v>0</v>
      </c>
      <c r="I15" s="76">
        <f>I7+I9+I11+I13</f>
        <v>0</v>
      </c>
      <c r="J15" s="27"/>
      <c r="K15" s="27">
        <f>F15+G15+H15+I15</f>
        <v>405977.41814999992</v>
      </c>
    </row>
    <row r="16" spans="1:12" ht="14.25" customHeight="1" x14ac:dyDescent="0.2">
      <c r="A16" s="17"/>
      <c r="B16" s="16"/>
      <c r="C16" s="16"/>
      <c r="D16" s="16"/>
      <c r="E16" s="16"/>
      <c r="F16" s="16"/>
      <c r="G16" s="15"/>
      <c r="H16" s="16"/>
      <c r="I16" s="108"/>
      <c r="K16" s="10"/>
    </row>
    <row r="17" spans="1:13" ht="14.25" customHeight="1" x14ac:dyDescent="0.2">
      <c r="A17" s="13"/>
      <c r="B17" s="77"/>
      <c r="C17" s="77"/>
      <c r="D17" s="77"/>
      <c r="E17" s="77"/>
      <c r="F17" s="77"/>
      <c r="G17" s="14"/>
      <c r="H17" s="77"/>
      <c r="I17" s="107"/>
      <c r="K17" s="10"/>
    </row>
    <row r="18" spans="1:13" ht="14.25" customHeight="1" x14ac:dyDescent="0.2">
      <c r="A18" s="13"/>
      <c r="B18" s="77"/>
      <c r="C18" s="77"/>
      <c r="D18" s="77"/>
      <c r="E18" s="77"/>
      <c r="F18" s="77"/>
      <c r="G18" s="14"/>
      <c r="H18" s="77"/>
      <c r="I18" s="107"/>
      <c r="K18" s="10"/>
    </row>
    <row r="19" spans="1:13" ht="14.25" customHeight="1" x14ac:dyDescent="0.2">
      <c r="A19" s="13"/>
      <c r="B19" s="77"/>
      <c r="C19" s="77"/>
      <c r="D19" s="77"/>
      <c r="E19" s="77"/>
      <c r="F19" s="77"/>
      <c r="G19" s="14"/>
      <c r="H19" s="110"/>
      <c r="I19" s="107"/>
      <c r="K19" s="10"/>
    </row>
    <row r="20" spans="1:13" ht="14.25" customHeight="1" x14ac:dyDescent="0.2">
      <c r="A20" s="54"/>
      <c r="B20" s="339"/>
      <c r="C20" s="339"/>
      <c r="D20" s="55"/>
      <c r="E20" s="337"/>
      <c r="F20" s="337"/>
      <c r="G20" s="12"/>
      <c r="H20" s="111" t="s">
        <v>62</v>
      </c>
      <c r="I20" s="109"/>
    </row>
    <row r="21" spans="1:13" ht="14.25" customHeight="1" x14ac:dyDescent="0.2">
      <c r="A21" s="54"/>
      <c r="B21" s="338" t="s">
        <v>167</v>
      </c>
      <c r="C21" s="338"/>
      <c r="D21" s="55"/>
      <c r="E21" s="360"/>
      <c r="F21" s="360"/>
      <c r="G21" s="11"/>
      <c r="H21" s="112"/>
      <c r="I21" s="107"/>
      <c r="M21" s="27"/>
    </row>
    <row r="22" spans="1:13" ht="14.25" customHeight="1" x14ac:dyDescent="0.2">
      <c r="A22" s="58"/>
      <c r="B22" s="340" t="s">
        <v>168</v>
      </c>
      <c r="C22" s="340"/>
      <c r="D22" s="59"/>
      <c r="E22" s="337"/>
      <c r="F22" s="337"/>
      <c r="G22" s="11"/>
      <c r="H22" s="112"/>
      <c r="I22" s="107"/>
    </row>
    <row r="23" spans="1:13" ht="14.25" customHeight="1" x14ac:dyDescent="0.2">
      <c r="A23" s="58"/>
      <c r="B23" s="59"/>
      <c r="C23" s="59"/>
      <c r="D23" s="59"/>
      <c r="E23" s="59"/>
      <c r="F23" s="59"/>
      <c r="G23" s="11"/>
      <c r="H23" s="112"/>
      <c r="I23" s="107"/>
    </row>
    <row r="24" spans="1:13" ht="14.25" customHeight="1" x14ac:dyDescent="0.2">
      <c r="A24" s="58"/>
      <c r="B24" s="59"/>
      <c r="C24" s="59"/>
      <c r="D24" s="59"/>
      <c r="E24" s="59"/>
      <c r="F24" s="59"/>
      <c r="G24" s="11"/>
      <c r="H24" s="112"/>
      <c r="I24" s="107"/>
    </row>
    <row r="25" spans="1:13" ht="14.25" customHeight="1" x14ac:dyDescent="0.2">
      <c r="A25" s="58"/>
      <c r="B25" s="59"/>
      <c r="C25" s="59"/>
      <c r="D25" s="59"/>
      <c r="E25" s="59"/>
      <c r="F25" s="59"/>
      <c r="G25" s="11"/>
      <c r="H25" s="112"/>
      <c r="I25" s="107"/>
    </row>
    <row r="26" spans="1:13" ht="14.25" customHeight="1" x14ac:dyDescent="0.2">
      <c r="A26" s="58"/>
      <c r="B26" s="59"/>
      <c r="C26" s="59"/>
      <c r="D26" s="59"/>
      <c r="E26" s="59"/>
      <c r="F26" s="59"/>
      <c r="G26" s="11"/>
      <c r="H26" s="112"/>
      <c r="I26" s="107"/>
    </row>
    <row r="27" spans="1:13" ht="14.25" customHeight="1" x14ac:dyDescent="0.2">
      <c r="A27" s="58"/>
      <c r="B27" s="59"/>
      <c r="C27" s="59"/>
      <c r="D27" s="59"/>
      <c r="E27" s="59"/>
      <c r="F27" s="59"/>
      <c r="G27" s="11"/>
      <c r="H27" s="112"/>
      <c r="I27" s="107"/>
    </row>
    <row r="28" spans="1:13" ht="15" customHeight="1" x14ac:dyDescent="0.2">
      <c r="A28" s="54"/>
      <c r="B28" s="339"/>
      <c r="C28" s="339"/>
      <c r="D28" s="55"/>
      <c r="E28" s="337"/>
      <c r="F28" s="337"/>
      <c r="G28" s="8"/>
      <c r="H28" s="113"/>
      <c r="I28" s="107"/>
    </row>
    <row r="29" spans="1:13" ht="13.5" customHeight="1" x14ac:dyDescent="0.2">
      <c r="A29" s="54"/>
      <c r="B29" s="338" t="s">
        <v>218</v>
      </c>
      <c r="C29" s="338"/>
      <c r="D29" s="55"/>
      <c r="E29" s="337"/>
      <c r="F29" s="337"/>
      <c r="G29" s="8"/>
      <c r="H29" s="113"/>
      <c r="I29" s="107"/>
    </row>
    <row r="30" spans="1:13" ht="14.25" customHeight="1" x14ac:dyDescent="0.2">
      <c r="A30" s="54"/>
      <c r="B30" s="337" t="s">
        <v>118</v>
      </c>
      <c r="C30" s="337"/>
      <c r="D30" s="55"/>
      <c r="E30" s="57"/>
      <c r="F30" s="57"/>
      <c r="G30" s="8"/>
      <c r="H30" s="113"/>
      <c r="I30" s="107"/>
    </row>
    <row r="31" spans="1:13" ht="14.25" customHeight="1" x14ac:dyDescent="0.2">
      <c r="A31" s="9"/>
      <c r="B31" s="32"/>
      <c r="C31" s="32"/>
      <c r="D31" s="78"/>
      <c r="E31" s="78"/>
      <c r="H31" s="113"/>
      <c r="I31" s="107"/>
    </row>
    <row r="32" spans="1:13" ht="14.25" customHeight="1" x14ac:dyDescent="0.2">
      <c r="A32" s="9"/>
      <c r="B32" s="32"/>
      <c r="C32" s="32"/>
      <c r="D32" s="78"/>
      <c r="E32" s="78"/>
      <c r="H32" s="113"/>
      <c r="I32" s="107"/>
    </row>
    <row r="33" spans="1:9" ht="14.1" customHeight="1" thickBot="1" x14ac:dyDescent="0.25">
      <c r="A33" s="7"/>
      <c r="B33" s="5"/>
      <c r="C33" s="5"/>
      <c r="D33" s="6"/>
      <c r="E33" s="6"/>
      <c r="F33" s="5"/>
      <c r="G33" s="5"/>
      <c r="H33" s="114"/>
      <c r="I33" s="115"/>
    </row>
  </sheetData>
  <mergeCells count="29">
    <mergeCell ref="A4:C4"/>
    <mergeCell ref="A6:A7"/>
    <mergeCell ref="A8:A9"/>
    <mergeCell ref="A2:I2"/>
    <mergeCell ref="A3:C3"/>
    <mergeCell ref="B6:B7"/>
    <mergeCell ref="H4:I4"/>
    <mergeCell ref="D4:G4"/>
    <mergeCell ref="C6:C7"/>
    <mergeCell ref="B8:B9"/>
    <mergeCell ref="C10:C11"/>
    <mergeCell ref="A10:A11"/>
    <mergeCell ref="B10:B11"/>
    <mergeCell ref="C8:C9"/>
    <mergeCell ref="E29:F29"/>
    <mergeCell ref="A12:A13"/>
    <mergeCell ref="C12:C13"/>
    <mergeCell ref="B12:B13"/>
    <mergeCell ref="E28:F28"/>
    <mergeCell ref="E22:F22"/>
    <mergeCell ref="E21:F21"/>
    <mergeCell ref="E20:F20"/>
    <mergeCell ref="B30:C30"/>
    <mergeCell ref="A14:C15"/>
    <mergeCell ref="B21:C21"/>
    <mergeCell ref="B29:C29"/>
    <mergeCell ref="B22:C22"/>
    <mergeCell ref="B28:C28"/>
    <mergeCell ref="B20:C20"/>
  </mergeCells>
  <printOptions horizontalCentered="1"/>
  <pageMargins left="0.35433070866141736" right="0.19685039370078741" top="0.59055118110236227" bottom="0.19685039370078741" header="0.19685039370078741" footer="0.2"/>
  <pageSetup paperSize="9" scale="78" orientation="landscape" horizontalDpi="4294967295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StaticMetafile" shapeId="6145" r:id="rId4">
          <objectPr defaultSize="0" autoPict="0" r:id="rId5">
            <anchor moveWithCells="1" sizeWithCells="1">
              <from>
                <xdr:col>0</xdr:col>
                <xdr:colOff>133350</xdr:colOff>
                <xdr:row>0</xdr:row>
                <xdr:rowOff>200025</xdr:rowOff>
              </from>
              <to>
                <xdr:col>1</xdr:col>
                <xdr:colOff>438150</xdr:colOff>
                <xdr:row>0</xdr:row>
                <xdr:rowOff>1114425</xdr:rowOff>
              </to>
            </anchor>
          </objectPr>
        </oleObject>
      </mc:Choice>
      <mc:Fallback>
        <oleObject progId="StaticMetafile" shapeId="6145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7" zoomScale="85" zoomScaleNormal="85" workbookViewId="0">
      <selection activeCell="E33" sqref="E33"/>
    </sheetView>
  </sheetViews>
  <sheetFormatPr defaultColWidth="9.140625" defaultRowHeight="12.75" x14ac:dyDescent="0.2"/>
  <cols>
    <col min="1" max="16384" width="9.140625" style="245"/>
  </cols>
  <sheetData>
    <row r="1" spans="1:1" x14ac:dyDescent="0.2">
      <c r="A1" s="245" t="s">
        <v>213</v>
      </c>
    </row>
    <row r="36" spans="1:6" x14ac:dyDescent="0.2">
      <c r="A36" s="245" t="s">
        <v>203</v>
      </c>
      <c r="F36" s="245" t="s">
        <v>206</v>
      </c>
    </row>
    <row r="37" spans="1:6" x14ac:dyDescent="0.2">
      <c r="A37" s="245" t="s">
        <v>207</v>
      </c>
      <c r="F37" s="245" t="s">
        <v>205</v>
      </c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="70" zoomScaleNormal="70" workbookViewId="0">
      <selection activeCell="R21" sqref="R21"/>
    </sheetView>
  </sheetViews>
  <sheetFormatPr defaultColWidth="9.140625" defaultRowHeight="12.75" x14ac:dyDescent="0.2"/>
  <cols>
    <col min="1" max="16384" width="9.140625" style="245"/>
  </cols>
  <sheetData>
    <row r="1" spans="1:1" x14ac:dyDescent="0.2">
      <c r="A1" s="245" t="s">
        <v>212</v>
      </c>
    </row>
    <row r="36" spans="1:7" x14ac:dyDescent="0.2">
      <c r="A36" s="245" t="s">
        <v>203</v>
      </c>
      <c r="G36" s="245" t="s">
        <v>206</v>
      </c>
    </row>
    <row r="37" spans="1:7" x14ac:dyDescent="0.2">
      <c r="A37" s="245" t="s">
        <v>207</v>
      </c>
      <c r="G37" s="245" t="s">
        <v>205</v>
      </c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10" zoomScale="85" zoomScaleNormal="85" workbookViewId="0">
      <selection activeCell="F37" sqref="F37"/>
    </sheetView>
  </sheetViews>
  <sheetFormatPr defaultRowHeight="12.75" x14ac:dyDescent="0.2"/>
  <sheetData>
    <row r="1" spans="1:1" x14ac:dyDescent="0.2">
      <c r="A1" t="s">
        <v>210</v>
      </c>
    </row>
    <row r="36" spans="1:6" x14ac:dyDescent="0.2">
      <c r="A36" t="s">
        <v>208</v>
      </c>
      <c r="F36" t="s">
        <v>206</v>
      </c>
    </row>
    <row r="37" spans="1:6" x14ac:dyDescent="0.2">
      <c r="A37" t="s">
        <v>209</v>
      </c>
      <c r="F37" t="s">
        <v>211</v>
      </c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5</vt:i4>
      </vt:variant>
    </vt:vector>
  </HeadingPairs>
  <TitlesOfParts>
    <vt:vector size="14" baseType="lpstr">
      <vt:lpstr>Croqui de Localização</vt:lpstr>
      <vt:lpstr>DMT USINA</vt:lpstr>
      <vt:lpstr>Demonstrativo do BDI</vt:lpstr>
      <vt:lpstr>Planilha Orçamentária</vt:lpstr>
      <vt:lpstr>Memória de Cálculo</vt:lpstr>
      <vt:lpstr>Cronograma Físico Financeiro</vt:lpstr>
      <vt:lpstr>DMT BOTA FORA</vt:lpstr>
      <vt:lpstr>DMT JAZIDA</vt:lpstr>
      <vt:lpstr>DMT REFINARIA</vt:lpstr>
      <vt:lpstr>'Cronograma Físico Financeiro'!Area_de_impressao</vt:lpstr>
      <vt:lpstr>'Croqui de Localização'!Area_de_impressao</vt:lpstr>
      <vt:lpstr>'Demonstrativo do BDI'!Area_de_impressao</vt:lpstr>
      <vt:lpstr>'Memória de Cálculo'!Area_de_impressao</vt:lpstr>
      <vt:lpstr>'Planilha Orçamentária'!Area_de_impressao</vt:lpstr>
    </vt:vector>
  </TitlesOfParts>
  <Company>Setop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Setop</dc:creator>
  <cp:lastModifiedBy>IPMP</cp:lastModifiedBy>
  <cp:lastPrinted>2026-07-22T13:19:06Z</cp:lastPrinted>
  <dcterms:created xsi:type="dcterms:W3CDTF">2006-09-22T13:55:22Z</dcterms:created>
  <dcterms:modified xsi:type="dcterms:W3CDTF">2026-07-29T10:37:24Z</dcterms:modified>
</cp:coreProperties>
</file>